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536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<sst xmlns="http://schemas.openxmlformats.org/spreadsheetml/2006/main" count="99" uniqueCount="90">
  <si>
    <t>Manson Engine</t>
  </si>
  <si>
    <t>Stroke</t>
  </si>
  <si>
    <t>Hot End Dia</t>
  </si>
  <si>
    <t>Cold end Dia</t>
  </si>
  <si>
    <t>Hot Temp</t>
  </si>
  <si>
    <t>Cold end temp</t>
  </si>
  <si>
    <t>Annular vol</t>
  </si>
  <si>
    <t>disregard</t>
  </si>
  <si>
    <t>Outward stroke %</t>
  </si>
  <si>
    <t>Press = atmospheric</t>
  </si>
  <si>
    <t>Hot vol</t>
  </si>
  <si>
    <t>Cold vol</t>
  </si>
  <si>
    <t>Area (squ mm)</t>
  </si>
  <si>
    <t>K</t>
  </si>
  <si>
    <t>PV/T=K</t>
  </si>
  <si>
    <t>Inward stroke %</t>
  </si>
  <si>
    <t>PV/T = K</t>
  </si>
  <si>
    <t>pressure difference</t>
  </si>
  <si>
    <t>MEP</t>
  </si>
  <si>
    <t>Cyl Pressure</t>
  </si>
  <si>
    <t xml:space="preserve"> </t>
  </si>
  <si>
    <t>Piston Area</t>
  </si>
  <si>
    <t>Annular area</t>
  </si>
  <si>
    <t>Ambient Press</t>
  </si>
  <si>
    <t>Kg/cm</t>
  </si>
  <si>
    <t>Note</t>
  </si>
  <si>
    <t>Piston starts at TDC and moves</t>
  </si>
  <si>
    <t>in 10% steps to BDC</t>
  </si>
  <si>
    <t>to TDC</t>
  </si>
  <si>
    <t>0% is TDC  and 100% is BDC</t>
  </si>
  <si>
    <t>MEP = Mean Effective Pressure</t>
  </si>
  <si>
    <t>Then it comes back in 10% steps from BDC</t>
  </si>
  <si>
    <t>start of down stroke</t>
  </si>
  <si>
    <t>start of return stroke</t>
  </si>
  <si>
    <t>Nm/cycle</t>
  </si>
  <si>
    <t>Displacer Area</t>
  </si>
  <si>
    <t>Force</t>
  </si>
  <si>
    <t>Newtons</t>
  </si>
  <si>
    <t>Work</t>
  </si>
  <si>
    <t>Nm</t>
  </si>
  <si>
    <t>RPM</t>
  </si>
  <si>
    <t>Power</t>
  </si>
  <si>
    <t>Watts</t>
  </si>
  <si>
    <t>Kg/Cm2</t>
  </si>
  <si>
    <t>PSI</t>
  </si>
  <si>
    <t xml:space="preserve">Pressure </t>
  </si>
  <si>
    <t>Vhot</t>
  </si>
  <si>
    <t>Vcold</t>
  </si>
  <si>
    <t>Vpiston</t>
  </si>
  <si>
    <t>Rod Dia(piston)</t>
  </si>
  <si>
    <t>Phot</t>
  </si>
  <si>
    <t>Pcold</t>
  </si>
  <si>
    <t>Pdif</t>
  </si>
  <si>
    <t>work</t>
  </si>
  <si>
    <t>Pressure</t>
  </si>
  <si>
    <t>Volume</t>
  </si>
  <si>
    <t>Stirling</t>
  </si>
  <si>
    <t>Manson</t>
  </si>
  <si>
    <t>Vtot/cm3</t>
  </si>
  <si>
    <t>Crank - degrees</t>
  </si>
  <si>
    <t>OB Crankpin distance</t>
  </si>
  <si>
    <t>BL con rod length</t>
  </si>
  <si>
    <t>LP piston arm length</t>
  </si>
  <si>
    <t>Y2</t>
  </si>
  <si>
    <t>Y2+Y1</t>
  </si>
  <si>
    <t>Y3</t>
  </si>
  <si>
    <t>Beta (rads)</t>
  </si>
  <si>
    <t>P1=Y1+Y2+Y3</t>
  </si>
  <si>
    <t>P2=Y1+Y2-Y3</t>
  </si>
  <si>
    <t>X2</t>
  </si>
  <si>
    <t>X=OBsinA</t>
  </si>
  <si>
    <t>Y1=OBcosA</t>
  </si>
  <si>
    <t>sin A</t>
  </si>
  <si>
    <t>cos A</t>
  </si>
  <si>
    <t>Deviation</t>
  </si>
  <si>
    <t>Ross Link Calculator</t>
  </si>
  <si>
    <t>Crank Angle</t>
  </si>
  <si>
    <t>Y3 phased</t>
  </si>
  <si>
    <t>Crank to</t>
  </si>
  <si>
    <t>Conrod</t>
  </si>
  <si>
    <t xml:space="preserve">Conrod </t>
  </si>
  <si>
    <t>Angle</t>
  </si>
  <si>
    <t>Ross Arm</t>
  </si>
  <si>
    <t>tilt or</t>
  </si>
  <si>
    <t>Height of</t>
  </si>
  <si>
    <t>arm above</t>
  </si>
  <si>
    <t>horizontal</t>
  </si>
  <si>
    <t>Piston1 position</t>
  </si>
  <si>
    <t>above crankshaft</t>
  </si>
  <si>
    <t>Piston2 position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</si>
</sst>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5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Manson Engine</a:t>
            </a:r>
          </a:p>
        </c:rich>
      </c:tx>
      <c:layout>
        <c:manualLayout>
          <c:xMode val="factor"/>
          <c:yMode val="factor"/>
          <c:x val="-0.004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765"/>
          <c:w val="0.66325"/>
          <c:h val="0.7025"/>
        </c:manualLayout>
      </c:layout>
      <c:scatterChart>
        <c:scatterStyle val="smooth"/>
        <c:varyColors val="0"/>
        <c:ser>
          <c:idx val="0"/>
          <c:order val="0"/>
          <c:tx>
            <c:v>Expansion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Sheet1!$C$12:$M$12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Sheet1!$C$17:$M$17</c:f>
              <c:numCache>
                <c:ptCount val="11"/>
                <c:pt idx="0">
                  <c:v>1</c:v>
                </c:pt>
                <c:pt idx="1">
                  <c:v>1.021598272138229</c:v>
                </c:pt>
                <c:pt idx="2">
                  <c:v>1.044150110375276</c:v>
                </c:pt>
                <c:pt idx="3">
                  <c:v>1.0677200902934538</c:v>
                </c:pt>
                <c:pt idx="4">
                  <c:v>1.0923787528868363</c:v>
                </c:pt>
                <c:pt idx="5">
                  <c:v>1.1182033096926713</c:v>
                </c:pt>
                <c:pt idx="6">
                  <c:v>1.1452784503631963</c:v>
                </c:pt>
                <c:pt idx="7">
                  <c:v>1.173697270471464</c:v>
                </c:pt>
                <c:pt idx="8">
                  <c:v>1.2035623409669214</c:v>
                </c:pt>
                <c:pt idx="9">
                  <c:v>1.2349869451697129</c:v>
                </c:pt>
                <c:pt idx="10">
                  <c:v>1.2680965147453083</c:v>
                </c:pt>
              </c:numCache>
            </c:numRef>
          </c:yVal>
          <c:smooth val="1"/>
        </c:ser>
        <c:ser>
          <c:idx val="1"/>
          <c:order val="1"/>
          <c:tx>
            <c:v>Compression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Sheet1!$C$12:$M$12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Sheet1!$C$22:$M$22</c:f>
              <c:numCache>
                <c:ptCount val="11"/>
                <c:pt idx="0">
                  <c:v>0.7885835095137421</c:v>
                </c:pt>
                <c:pt idx="1">
                  <c:v>0.8056155507559396</c:v>
                </c:pt>
                <c:pt idx="2">
                  <c:v>0.8233995584988963</c:v>
                </c:pt>
                <c:pt idx="3">
                  <c:v>0.8419864559819414</c:v>
                </c:pt>
                <c:pt idx="4">
                  <c:v>0.8614318706697461</c:v>
                </c:pt>
                <c:pt idx="5">
                  <c:v>0.8817966903073287</c:v>
                </c:pt>
                <c:pt idx="6">
                  <c:v>0.9031476997578693</c:v>
                </c:pt>
                <c:pt idx="7">
                  <c:v>0.925558312655087</c:v>
                </c:pt>
                <c:pt idx="8">
                  <c:v>0.9491094147582699</c:v>
                </c:pt>
                <c:pt idx="9">
                  <c:v>0.9738903394255876</c:v>
                </c:pt>
                <c:pt idx="10">
                  <c:v>1</c:v>
                </c:pt>
              </c:numCache>
            </c:numRef>
          </c:yVal>
          <c:smooth val="1"/>
        </c:ser>
        <c:axId val="37225100"/>
        <c:axId val="66590445"/>
      </c:scatterChart>
      <c:valAx>
        <c:axId val="3722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Piston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90445"/>
        <c:crosses val="autoZero"/>
        <c:crossBetween val="midCat"/>
        <c:dispUnits/>
      </c:valAx>
      <c:valAx>
        <c:axId val="66590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Press Kg/cm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251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Sheet1!$J$54:$J$70</c:f>
              <c:numCache>
                <c:ptCount val="17"/>
                <c:pt idx="0">
                  <c:v>159.34157939007432</c:v>
                </c:pt>
                <c:pt idx="1">
                  <c:v>158.47596985904087</c:v>
                </c:pt>
                <c:pt idx="2">
                  <c:v>157.74214153233726</c:v>
                </c:pt>
                <c:pt idx="3">
                  <c:v>157.2518131205339</c:v>
                </c:pt>
                <c:pt idx="4">
                  <c:v>157.07963267948966</c:v>
                </c:pt>
                <c:pt idx="5">
                  <c:v>157.25181312053394</c:v>
                </c:pt>
                <c:pt idx="6">
                  <c:v>157.74214153233729</c:v>
                </c:pt>
                <c:pt idx="7">
                  <c:v>158.47596985904087</c:v>
                </c:pt>
                <c:pt idx="8">
                  <c:v>159.34157939007432</c:v>
                </c:pt>
                <c:pt idx="9">
                  <c:v>160.20718892110776</c:v>
                </c:pt>
                <c:pt idx="10">
                  <c:v>160.9410172478113</c:v>
                </c:pt>
                <c:pt idx="11">
                  <c:v>161.4313456596147</c:v>
                </c:pt>
                <c:pt idx="12">
                  <c:v>161.60352610065894</c:v>
                </c:pt>
                <c:pt idx="13">
                  <c:v>161.4313456596147</c:v>
                </c:pt>
                <c:pt idx="14">
                  <c:v>160.94101724781132</c:v>
                </c:pt>
                <c:pt idx="15">
                  <c:v>160.20718892110776</c:v>
                </c:pt>
                <c:pt idx="16">
                  <c:v>159.34157939007432</c:v>
                </c:pt>
              </c:numCache>
            </c:numRef>
          </c:xVal>
          <c:yVal>
            <c:numRef>
              <c:f>Sheet1!$K$54:$K$70</c:f>
              <c:numCache>
                <c:ptCount val="17"/>
                <c:pt idx="0">
                  <c:v>0.20990517323893754</c:v>
                </c:pt>
                <c:pt idx="1">
                  <c:v>0.21218074042466595</c:v>
                </c:pt>
                <c:pt idx="2">
                  <c:v>0.21769758771937664</c:v>
                </c:pt>
                <c:pt idx="3">
                  <c:v>0.22604315143189213</c:v>
                </c:pt>
                <c:pt idx="4">
                  <c:v>0.23640661938534258</c:v>
                </c:pt>
                <c:pt idx="5">
                  <c:v>0.24744815119700414</c:v>
                </c:pt>
                <c:pt idx="6">
                  <c:v>0.2573061184057732</c:v>
                </c:pt>
                <c:pt idx="7">
                  <c:v>0.2639160584288701</c:v>
                </c:pt>
                <c:pt idx="8">
                  <c:v>0.26567086143245466</c:v>
                </c:pt>
                <c:pt idx="9">
                  <c:v>0.2621129675468419</c:v>
                </c:pt>
                <c:pt idx="10">
                  <c:v>0.25415648545992875</c:v>
                </c:pt>
                <c:pt idx="11">
                  <c:v>0.2436541539453254</c:v>
                </c:pt>
                <c:pt idx="12">
                  <c:v>0.23266029363590346</c:v>
                </c:pt>
                <c:pt idx="13">
                  <c:v>0.2228729439832473</c:v>
                </c:pt>
                <c:pt idx="14">
                  <c:v>0.2154387446414313</c:v>
                </c:pt>
                <c:pt idx="15">
                  <c:v>0.21101371601579333</c:v>
                </c:pt>
                <c:pt idx="16">
                  <c:v>0.20990517323893754</c:v>
                </c:pt>
              </c:numCache>
            </c:numRef>
          </c:yVal>
          <c:smooth val="1"/>
        </c:ser>
        <c:axId val="62443094"/>
        <c:axId val="25116935"/>
      </c:scatterChart>
      <c:valAx>
        <c:axId val="6244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16935"/>
        <c:crosses val="autoZero"/>
        <c:crossBetween val="midCat"/>
        <c:dispUnits/>
      </c:valAx>
      <c:valAx>
        <c:axId val="25116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430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Sheet1!$K$54:$K$70</c:f>
              <c:numCache>
                <c:ptCount val="17"/>
                <c:pt idx="0">
                  <c:v>0.20990517323893754</c:v>
                </c:pt>
                <c:pt idx="1">
                  <c:v>0.21218074042466595</c:v>
                </c:pt>
                <c:pt idx="2">
                  <c:v>0.21769758771937664</c:v>
                </c:pt>
                <c:pt idx="3">
                  <c:v>0.22604315143189213</c:v>
                </c:pt>
                <c:pt idx="4">
                  <c:v>0.23640661938534258</c:v>
                </c:pt>
                <c:pt idx="5">
                  <c:v>0.24744815119700414</c:v>
                </c:pt>
                <c:pt idx="6">
                  <c:v>0.2573061184057732</c:v>
                </c:pt>
                <c:pt idx="7">
                  <c:v>0.2639160584288701</c:v>
                </c:pt>
                <c:pt idx="8">
                  <c:v>0.26567086143245466</c:v>
                </c:pt>
                <c:pt idx="9">
                  <c:v>0.2621129675468419</c:v>
                </c:pt>
                <c:pt idx="10">
                  <c:v>0.25415648545992875</c:v>
                </c:pt>
                <c:pt idx="11">
                  <c:v>0.2436541539453254</c:v>
                </c:pt>
                <c:pt idx="12">
                  <c:v>0.23266029363590346</c:v>
                </c:pt>
                <c:pt idx="13">
                  <c:v>0.2228729439832473</c:v>
                </c:pt>
                <c:pt idx="14">
                  <c:v>0.2154387446414313</c:v>
                </c:pt>
                <c:pt idx="15">
                  <c:v>0.21101371601579333</c:v>
                </c:pt>
                <c:pt idx="16">
                  <c:v>0.20990517323893754</c:v>
                </c:pt>
              </c:numCache>
            </c:numRef>
          </c:yVal>
          <c:smooth val="1"/>
        </c:ser>
        <c:axId val="24725824"/>
        <c:axId val="21205825"/>
      </c:scatterChart>
      <c:valAx>
        <c:axId val="2472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05825"/>
        <c:crosses val="autoZero"/>
        <c:crossBetween val="midCat"/>
        <c:dispUnits/>
      </c:valAx>
      <c:valAx>
        <c:axId val="21205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25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102</xdr:row>
      <xdr:rowOff>152400</xdr:rowOff>
    </xdr:from>
    <xdr:to>
      <xdr:col>18</xdr:col>
      <xdr:colOff>495300</xdr:colOff>
      <xdr:row>120</xdr:row>
      <xdr:rowOff>76200</xdr:rowOff>
    </xdr:to>
    <xdr:graphicFrame>
      <xdr:nvGraphicFramePr>
        <xdr:cNvPr id="1" name="Chart 2"/>
        <xdr:cNvGraphicFramePr/>
      </xdr:nvGraphicFramePr>
      <xdr:xfrm>
        <a:off x="7915275" y="16668750"/>
        <a:ext cx="48958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266700</xdr:colOff>
      <xdr:row>91</xdr:row>
      <xdr:rowOff>0</xdr:rowOff>
    </xdr:from>
    <xdr:to>
      <xdr:col>22</xdr:col>
      <xdr:colOff>66675</xdr:colOff>
      <xdr:row>107</xdr:row>
      <xdr:rowOff>152400</xdr:rowOff>
    </xdr:to>
    <xdr:graphicFrame>
      <xdr:nvGraphicFramePr>
        <xdr:cNvPr id="2" name="Chart 4"/>
        <xdr:cNvGraphicFramePr/>
      </xdr:nvGraphicFramePr>
      <xdr:xfrm>
        <a:off x="8001000" y="14735175"/>
        <a:ext cx="7162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285750</xdr:colOff>
      <xdr:row>0</xdr:row>
      <xdr:rowOff>0</xdr:rowOff>
    </xdr:from>
    <xdr:to>
      <xdr:col>31</xdr:col>
      <xdr:colOff>85725</xdr:colOff>
      <xdr:row>16</xdr:row>
      <xdr:rowOff>152400</xdr:rowOff>
    </xdr:to>
    <xdr:graphicFrame>
      <xdr:nvGraphicFramePr>
        <xdr:cNvPr id="3" name="Chart 6"/>
        <xdr:cNvGraphicFramePr/>
      </xdr:nvGraphicFramePr>
      <xdr:xfrm>
        <a:off x="16430625" y="0"/>
        <a:ext cx="51149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workbookViewId="0" topLeftCell="K45">
      <selection activeCell="R48" sqref="R48"/>
    </sheetView>
  </sheetViews>
  <sheetFormatPr defaultColWidth="9.140625" defaultRowHeight="12.75"/>
  <cols>
    <col min="1" max="1" width="20.7109375" style="0" customWidth="1"/>
    <col min="2" max="2" width="13.00390625" style="0" bestFit="1" customWidth="1"/>
    <col min="14" max="15" width="10.7109375" style="0" customWidth="1"/>
    <col min="18" max="18" width="10.7109375" style="0" customWidth="1"/>
    <col min="21" max="21" width="10.7109375" style="0" customWidth="1"/>
    <col min="22" max="22" width="12.7109375" style="0" customWidth="1"/>
    <col min="23" max="24" width="15.7109375" style="0" customWidth="1"/>
  </cols>
  <sheetData>
    <row r="1" ht="12.75">
      <c r="A1" s="15" t="s">
        <v>0</v>
      </c>
    </row>
    <row r="2" ht="12.75">
      <c r="C2" t="s">
        <v>12</v>
      </c>
    </row>
    <row r="3" spans="1:7" ht="12.75">
      <c r="A3" t="s">
        <v>1</v>
      </c>
      <c r="B3">
        <v>80</v>
      </c>
      <c r="G3" t="s">
        <v>56</v>
      </c>
    </row>
    <row r="4" spans="1:8" ht="12.75">
      <c r="A4" t="s">
        <v>2</v>
      </c>
      <c r="B4">
        <v>50</v>
      </c>
      <c r="C4" s="8">
        <f>PI()*B4*B4/4</f>
        <v>1963.4954084936207</v>
      </c>
      <c r="D4" s="9" t="s">
        <v>35</v>
      </c>
      <c r="E4" s="10"/>
      <c r="G4">
        <f>$B$91</f>
        <v>0.8733688622810158</v>
      </c>
      <c r="H4" t="s">
        <v>42</v>
      </c>
    </row>
    <row r="5" spans="1:7" ht="12.75">
      <c r="A5" t="s">
        <v>3</v>
      </c>
      <c r="B5">
        <v>50</v>
      </c>
      <c r="C5" s="11">
        <f>PI()*(B5)*(B5)/4</f>
        <v>1963.4954084936207</v>
      </c>
      <c r="D5" s="12" t="s">
        <v>22</v>
      </c>
      <c r="E5" s="13"/>
      <c r="G5" t="s">
        <v>57</v>
      </c>
    </row>
    <row r="6" spans="1:8" ht="12.75">
      <c r="A6" t="s">
        <v>49</v>
      </c>
      <c r="B6">
        <v>6</v>
      </c>
      <c r="C6" s="11">
        <f>PI()*B6*B6/4</f>
        <v>28.274333882308138</v>
      </c>
      <c r="D6" t="s">
        <v>21</v>
      </c>
      <c r="G6">
        <f>B40</f>
        <v>1.7584680491501208</v>
      </c>
      <c r="H6" t="s">
        <v>42</v>
      </c>
    </row>
    <row r="7" spans="1:3" ht="12.75">
      <c r="A7" t="s">
        <v>4</v>
      </c>
      <c r="B7">
        <v>473</v>
      </c>
      <c r="C7" t="s">
        <v>13</v>
      </c>
    </row>
    <row r="8" spans="1:3" ht="12.75">
      <c r="A8" t="s">
        <v>5</v>
      </c>
      <c r="B8">
        <v>373</v>
      </c>
      <c r="C8" t="s">
        <v>13</v>
      </c>
    </row>
    <row r="9" spans="1:2" ht="12.75">
      <c r="A9" t="s">
        <v>6</v>
      </c>
      <c r="B9" t="s">
        <v>7</v>
      </c>
    </row>
    <row r="10" spans="1:3" ht="12.75">
      <c r="A10" t="s">
        <v>23</v>
      </c>
      <c r="B10">
        <v>1</v>
      </c>
      <c r="C10" t="s">
        <v>24</v>
      </c>
    </row>
    <row r="12" spans="1:13" ht="12.75">
      <c r="A12" t="s">
        <v>8</v>
      </c>
      <c r="C12" s="1">
        <v>0</v>
      </c>
      <c r="D12" s="1">
        <v>0.1</v>
      </c>
      <c r="E12" s="1">
        <v>0.2</v>
      </c>
      <c r="F12" s="1">
        <v>0.3</v>
      </c>
      <c r="G12" s="1">
        <v>0.4</v>
      </c>
      <c r="H12" s="1">
        <v>0.5</v>
      </c>
      <c r="I12" s="1">
        <v>0.6</v>
      </c>
      <c r="J12" s="1">
        <v>0.7</v>
      </c>
      <c r="K12" s="1">
        <v>0.8</v>
      </c>
      <c r="L12" s="1">
        <v>0.9</v>
      </c>
      <c r="M12" s="1">
        <v>1</v>
      </c>
    </row>
    <row r="13" spans="1:3" ht="12.75">
      <c r="A13" t="s">
        <v>9</v>
      </c>
      <c r="C13" t="s">
        <v>20</v>
      </c>
    </row>
    <row r="14" spans="1:13" ht="12.75">
      <c r="A14" t="s">
        <v>10</v>
      </c>
      <c r="C14">
        <f>$C$4*($B$3*C12)</f>
        <v>0</v>
      </c>
      <c r="D14">
        <f aca="true" t="shared" si="0" ref="D14:M14">$C$4*($B$3*D12)</f>
        <v>15707.963267948966</v>
      </c>
      <c r="E14">
        <f t="shared" si="0"/>
        <v>31415.926535897932</v>
      </c>
      <c r="F14">
        <f t="shared" si="0"/>
        <v>47123.8898038469</v>
      </c>
      <c r="G14">
        <f t="shared" si="0"/>
        <v>62831.853071795864</v>
      </c>
      <c r="H14">
        <f t="shared" si="0"/>
        <v>78539.81633974484</v>
      </c>
      <c r="I14">
        <f t="shared" si="0"/>
        <v>94247.7796076938</v>
      </c>
      <c r="J14">
        <f t="shared" si="0"/>
        <v>109955.74287564275</v>
      </c>
      <c r="K14">
        <f t="shared" si="0"/>
        <v>125663.70614359173</v>
      </c>
      <c r="L14">
        <f t="shared" si="0"/>
        <v>141371.6694115407</v>
      </c>
      <c r="M14">
        <f t="shared" si="0"/>
        <v>157079.63267948967</v>
      </c>
    </row>
    <row r="15" spans="1:13" ht="12.75">
      <c r="A15" t="s">
        <v>11</v>
      </c>
      <c r="C15">
        <f>$C$5*(((100%-C12))*$B$3)</f>
        <v>157079.63267948967</v>
      </c>
      <c r="D15">
        <f aca="true" t="shared" si="1" ref="D15:M15">$C$5*(((100%-D12))*$B$3)</f>
        <v>141371.6694115407</v>
      </c>
      <c r="E15">
        <f t="shared" si="1"/>
        <v>125663.70614359173</v>
      </c>
      <c r="F15">
        <f t="shared" si="1"/>
        <v>109955.74287564275</v>
      </c>
      <c r="G15">
        <f t="shared" si="1"/>
        <v>94247.7796076938</v>
      </c>
      <c r="H15">
        <f t="shared" si="1"/>
        <v>78539.81633974484</v>
      </c>
      <c r="I15">
        <f t="shared" si="1"/>
        <v>62831.853071795864</v>
      </c>
      <c r="J15">
        <f t="shared" si="1"/>
        <v>47123.889803846905</v>
      </c>
      <c r="K15">
        <f t="shared" si="1"/>
        <v>31415.926535897925</v>
      </c>
      <c r="L15">
        <f t="shared" si="1"/>
        <v>15707.963267948962</v>
      </c>
      <c r="M15">
        <f t="shared" si="1"/>
        <v>0</v>
      </c>
    </row>
    <row r="16" ht="12.75">
      <c r="C16" t="s">
        <v>19</v>
      </c>
    </row>
    <row r="17" spans="1:13" ht="12.75">
      <c r="A17" t="s">
        <v>14</v>
      </c>
      <c r="B17">
        <f>($B$10*C14/B7)+($B$10*C15/B8)</f>
        <v>421.12502058844416</v>
      </c>
      <c r="C17" s="6">
        <f>$B$17/((C14/$B$7)+(C15/$B$8))</f>
        <v>1</v>
      </c>
      <c r="D17" s="4">
        <f aca="true" t="shared" si="2" ref="D17:M17">$B$17/((D14/$B$7)+(D15/$B$8))</f>
        <v>1.021598272138229</v>
      </c>
      <c r="E17" s="4">
        <f t="shared" si="2"/>
        <v>1.044150110375276</v>
      </c>
      <c r="F17" s="4">
        <f t="shared" si="2"/>
        <v>1.0677200902934538</v>
      </c>
      <c r="G17" s="4">
        <f t="shared" si="2"/>
        <v>1.0923787528868363</v>
      </c>
      <c r="H17" s="4">
        <f t="shared" si="2"/>
        <v>1.1182033096926713</v>
      </c>
      <c r="I17" s="4">
        <f t="shared" si="2"/>
        <v>1.1452784503631963</v>
      </c>
      <c r="J17" s="4">
        <f t="shared" si="2"/>
        <v>1.173697270471464</v>
      </c>
      <c r="K17" s="4">
        <f t="shared" si="2"/>
        <v>1.2035623409669214</v>
      </c>
      <c r="L17" s="4">
        <f t="shared" si="2"/>
        <v>1.2349869451697129</v>
      </c>
      <c r="M17" s="7">
        <f t="shared" si="2"/>
        <v>1.2680965147453083</v>
      </c>
    </row>
    <row r="18" ht="12.75">
      <c r="C18" t="s">
        <v>32</v>
      </c>
    </row>
    <row r="20" spans="1:13" ht="12.75">
      <c r="A20" t="s">
        <v>15</v>
      </c>
      <c r="C20" s="1">
        <v>0</v>
      </c>
      <c r="D20" s="1">
        <v>0.1</v>
      </c>
      <c r="E20" s="1">
        <v>0.2</v>
      </c>
      <c r="F20" s="1">
        <v>0.3</v>
      </c>
      <c r="G20" s="1">
        <v>0.4</v>
      </c>
      <c r="H20" s="1">
        <v>0.5</v>
      </c>
      <c r="I20" s="1">
        <v>0.6</v>
      </c>
      <c r="J20" s="1">
        <v>0.7</v>
      </c>
      <c r="K20" s="1">
        <v>0.8</v>
      </c>
      <c r="L20" s="1">
        <v>0.9</v>
      </c>
      <c r="M20" s="1">
        <v>1</v>
      </c>
    </row>
    <row r="21" ht="12.75">
      <c r="C21" t="s">
        <v>19</v>
      </c>
    </row>
    <row r="22" spans="1:13" ht="12.75">
      <c r="A22" t="s">
        <v>16</v>
      </c>
      <c r="B22">
        <f>($B$10*M14/$B$7)+($B$10*M15/$B$8)</f>
        <v>332.0922466796822</v>
      </c>
      <c r="C22" s="6">
        <f aca="true" t="shared" si="3" ref="C22:L22">$B$22/((C14/$B$7)+(C15/$B$8))</f>
        <v>0.7885835095137421</v>
      </c>
      <c r="D22" s="4">
        <f t="shared" si="3"/>
        <v>0.8056155507559396</v>
      </c>
      <c r="E22" s="4">
        <f t="shared" si="3"/>
        <v>0.8233995584988963</v>
      </c>
      <c r="F22" s="4">
        <f t="shared" si="3"/>
        <v>0.8419864559819414</v>
      </c>
      <c r="G22" s="4">
        <f t="shared" si="3"/>
        <v>0.8614318706697461</v>
      </c>
      <c r="H22" s="4">
        <f t="shared" si="3"/>
        <v>0.8817966903073287</v>
      </c>
      <c r="I22" s="4">
        <f t="shared" si="3"/>
        <v>0.9031476997578693</v>
      </c>
      <c r="J22" s="4">
        <f t="shared" si="3"/>
        <v>0.925558312655087</v>
      </c>
      <c r="K22" s="4">
        <f t="shared" si="3"/>
        <v>0.9491094147582699</v>
      </c>
      <c r="L22" s="4">
        <f t="shared" si="3"/>
        <v>0.9738903394255876</v>
      </c>
      <c r="M22" s="7">
        <f>$B$22/((M14/$B$7)+(M15/$B$8))</f>
        <v>1</v>
      </c>
    </row>
    <row r="23" ht="12.75">
      <c r="M23" t="s">
        <v>33</v>
      </c>
    </row>
    <row r="24" spans="1:13" ht="12.75">
      <c r="A24" t="s">
        <v>17</v>
      </c>
      <c r="C24" s="2">
        <f>C17-C22</f>
        <v>0.21141649048625788</v>
      </c>
      <c r="D24" s="2">
        <f aca="true" t="shared" si="4" ref="D24:M24">D17-D22</f>
        <v>0.21598272138228947</v>
      </c>
      <c r="E24" s="2">
        <f t="shared" si="4"/>
        <v>0.2207505518763796</v>
      </c>
      <c r="F24" s="2">
        <f t="shared" si="4"/>
        <v>0.2257336343115124</v>
      </c>
      <c r="G24" s="2">
        <f t="shared" si="4"/>
        <v>0.23094688221709014</v>
      </c>
      <c r="H24" s="2">
        <f t="shared" si="4"/>
        <v>0.2364066193853427</v>
      </c>
      <c r="I24" s="2">
        <f t="shared" si="4"/>
        <v>0.24213075060532696</v>
      </c>
      <c r="J24" s="2">
        <f t="shared" si="4"/>
        <v>0.24813895781637707</v>
      </c>
      <c r="K24" s="2">
        <f t="shared" si="4"/>
        <v>0.25445292620865145</v>
      </c>
      <c r="L24" s="2">
        <f t="shared" si="4"/>
        <v>0.2610966057441253</v>
      </c>
      <c r="M24" s="2">
        <f t="shared" si="4"/>
        <v>0.26809651474530827</v>
      </c>
    </row>
    <row r="26" spans="1:6" ht="12.75">
      <c r="A26" t="s">
        <v>45</v>
      </c>
      <c r="B26" s="3" t="s">
        <v>18</v>
      </c>
      <c r="C26" s="4">
        <f>AVERAGE(C24:M24)</f>
        <v>0.2377411504344238</v>
      </c>
      <c r="D26" s="5" t="s">
        <v>43</v>
      </c>
      <c r="E26">
        <f>C26*2.2026*(2.54*2.54)</f>
        <v>3.3783716816099734</v>
      </c>
      <c r="F26" t="s">
        <v>44</v>
      </c>
    </row>
    <row r="28" spans="1:2" ht="12.75">
      <c r="A28" t="s">
        <v>25</v>
      </c>
      <c r="B28" s="14" t="s">
        <v>26</v>
      </c>
    </row>
    <row r="29" ht="12.75">
      <c r="B29" t="s">
        <v>27</v>
      </c>
    </row>
    <row r="30" ht="12.75">
      <c r="B30" t="s">
        <v>31</v>
      </c>
    </row>
    <row r="31" ht="12.75">
      <c r="B31" t="s">
        <v>28</v>
      </c>
    </row>
    <row r="32" ht="12.75">
      <c r="B32" t="s">
        <v>29</v>
      </c>
    </row>
    <row r="33" ht="12.75">
      <c r="B33" t="s">
        <v>30</v>
      </c>
    </row>
    <row r="35" spans="1:3" ht="12.75">
      <c r="A35" t="s">
        <v>36</v>
      </c>
      <c r="B35">
        <f>(C6/100)*C26*9.81</f>
        <v>0.6594255184312953</v>
      </c>
      <c r="C35" t="s">
        <v>37</v>
      </c>
    </row>
    <row r="36" spans="1:3" ht="12.75">
      <c r="A36" t="s">
        <v>38</v>
      </c>
      <c r="B36">
        <f>(B35*B3/1000)</f>
        <v>0.052754041474503625</v>
      </c>
      <c r="C36" t="s">
        <v>39</v>
      </c>
    </row>
    <row r="38" spans="1:2" ht="12.75">
      <c r="A38" t="s">
        <v>40</v>
      </c>
      <c r="B38">
        <v>1000</v>
      </c>
    </row>
    <row r="39" spans="1:2" ht="12.75">
      <c r="A39" t="s">
        <v>34</v>
      </c>
      <c r="B39">
        <f>(B36*B38/60)</f>
        <v>0.8792340245750604</v>
      </c>
    </row>
    <row r="40" spans="1:3" ht="12.75">
      <c r="A40" t="s">
        <v>41</v>
      </c>
      <c r="B40">
        <f>(B39*2)</f>
        <v>1.7584680491501208</v>
      </c>
      <c r="C40" t="s">
        <v>42</v>
      </c>
    </row>
    <row r="43" ht="12.75">
      <c r="A43" s="15" t="s">
        <v>75</v>
      </c>
    </row>
    <row r="46" spans="1:2" ht="12.75">
      <c r="A46" s="15" t="s">
        <v>60</v>
      </c>
      <c r="B46">
        <v>9</v>
      </c>
    </row>
    <row r="47" spans="1:2" ht="12.75">
      <c r="A47" s="15" t="s">
        <v>61</v>
      </c>
      <c r="B47">
        <v>25</v>
      </c>
    </row>
    <row r="48" spans="1:2" ht="12.75">
      <c r="A48" s="15" t="s">
        <v>62</v>
      </c>
      <c r="B48">
        <v>25</v>
      </c>
    </row>
    <row r="49" spans="1:24" ht="12.75">
      <c r="A49" t="s">
        <v>1</v>
      </c>
      <c r="B49">
        <f>(W56-W64)</f>
        <v>25.455844122715703</v>
      </c>
      <c r="R49" t="s">
        <v>82</v>
      </c>
      <c r="U49" t="s">
        <v>84</v>
      </c>
      <c r="W49" t="s">
        <v>87</v>
      </c>
      <c r="X49" t="s">
        <v>89</v>
      </c>
    </row>
    <row r="50" spans="1:24" ht="12.75">
      <c r="A50" t="s">
        <v>74</v>
      </c>
      <c r="B50">
        <f>(Y54-Y58)</f>
        <v>1.676192420618797</v>
      </c>
      <c r="R50" t="s">
        <v>83</v>
      </c>
      <c r="U50" t="s">
        <v>85</v>
      </c>
      <c r="W50" t="s">
        <v>88</v>
      </c>
      <c r="X50" t="s">
        <v>88</v>
      </c>
    </row>
    <row r="51" spans="17:21" ht="12.75">
      <c r="Q51" t="s">
        <v>78</v>
      </c>
      <c r="R51" t="s">
        <v>80</v>
      </c>
      <c r="U51" t="s">
        <v>86</v>
      </c>
    </row>
    <row r="52" spans="17:18" ht="12.75">
      <c r="Q52" t="s">
        <v>79</v>
      </c>
      <c r="R52" t="s">
        <v>81</v>
      </c>
    </row>
    <row r="53" spans="1:25" ht="12.75">
      <c r="A53" t="s">
        <v>59</v>
      </c>
      <c r="B53" t="s">
        <v>48</v>
      </c>
      <c r="C53" t="s">
        <v>47</v>
      </c>
      <c r="D53" t="s">
        <v>46</v>
      </c>
      <c r="F53" t="s">
        <v>58</v>
      </c>
      <c r="G53" t="s">
        <v>50</v>
      </c>
      <c r="H53" t="s">
        <v>51</v>
      </c>
      <c r="I53" t="s">
        <v>52</v>
      </c>
      <c r="J53" t="s">
        <v>55</v>
      </c>
      <c r="K53" t="s">
        <v>54</v>
      </c>
      <c r="L53" s="15" t="s">
        <v>72</v>
      </c>
      <c r="M53" s="15" t="s">
        <v>73</v>
      </c>
      <c r="N53" s="15" t="s">
        <v>70</v>
      </c>
      <c r="O53" s="15" t="s">
        <v>71</v>
      </c>
      <c r="P53" s="15" t="s">
        <v>63</v>
      </c>
      <c r="Q53" s="15" t="s">
        <v>64</v>
      </c>
      <c r="R53" s="15" t="s">
        <v>66</v>
      </c>
      <c r="S53" s="15" t="s">
        <v>65</v>
      </c>
      <c r="T53" s="15"/>
      <c r="U53" s="15" t="s">
        <v>77</v>
      </c>
      <c r="V53" s="15" t="s">
        <v>76</v>
      </c>
      <c r="W53" s="15" t="s">
        <v>67</v>
      </c>
      <c r="X53" s="15" t="s">
        <v>68</v>
      </c>
      <c r="Y53" s="15" t="s">
        <v>69</v>
      </c>
    </row>
    <row r="54" spans="1:25" ht="12.75">
      <c r="A54">
        <v>0</v>
      </c>
      <c r="B54">
        <f>(0.5*(2-(SIN(A54*PI()/180))-1))*$C$6*$B$3/1000</f>
        <v>1.1309733552923256</v>
      </c>
      <c r="C54" s="16">
        <f>B54+(0.5*((COS(A54*PI()/180))+1))*$C$4*$B$3/1000</f>
        <v>158.210606034782</v>
      </c>
      <c r="D54">
        <f>(0.5*((COS(A54*PI()/180-PI()))+1))*$C$4*$B$3/1000</f>
        <v>0</v>
      </c>
      <c r="F54">
        <f>(B54+C54+D54)</f>
        <v>159.34157939007432</v>
      </c>
      <c r="G54">
        <f>$B$17/((C54/$B$8)+(D54/$B$7))/1000</f>
        <v>0.9928514694201748</v>
      </c>
      <c r="H54">
        <f>$B$22/((C54/$B$8)+(D54/$B$7))/1000</f>
        <v>0.7829462961812372</v>
      </c>
      <c r="I54">
        <f>(G54-H54)</f>
        <v>0.20990517323893754</v>
      </c>
      <c r="J54">
        <f>F54</f>
        <v>159.34157939007432</v>
      </c>
      <c r="K54">
        <f>(G54-H54)</f>
        <v>0.20990517323893754</v>
      </c>
      <c r="L54">
        <f>SIN(A54*PI()/180)</f>
        <v>0</v>
      </c>
      <c r="M54">
        <f>COS(A54*PI()/180)</f>
        <v>1</v>
      </c>
      <c r="N54">
        <f>($B$46*L54)</f>
        <v>0</v>
      </c>
      <c r="O54">
        <f>$B$46*M54</f>
        <v>9</v>
      </c>
      <c r="P54">
        <f>(($B$47*$B$47)-(N54*N54))^0.5</f>
        <v>25</v>
      </c>
      <c r="Q54">
        <f>(P54+O54)</f>
        <v>34</v>
      </c>
      <c r="R54">
        <f>ACOS(P54/$B$47)</f>
        <v>0</v>
      </c>
      <c r="S54">
        <f>$B$48*SIN(R54)</f>
        <v>0</v>
      </c>
      <c r="T54">
        <v>1</v>
      </c>
      <c r="U54">
        <f>S54*T54</f>
        <v>0</v>
      </c>
      <c r="V54">
        <f>A54</f>
        <v>0</v>
      </c>
      <c r="W54">
        <f>Q54+U54</f>
        <v>34</v>
      </c>
      <c r="X54">
        <f>Q54-U54</f>
        <v>34</v>
      </c>
      <c r="Y54">
        <f>$B$48*COS(R54)</f>
        <v>25</v>
      </c>
    </row>
    <row r="55" spans="1:25" ht="12.75">
      <c r="A55">
        <f>(A54+22.5)</f>
        <v>22.5</v>
      </c>
      <c r="B55">
        <f aca="true" t="shared" si="5" ref="B55:B70">(0.5*(2-(SIN(A55*PI()/180))-1))*$C$6*$B$3/1000</f>
        <v>0.6981685897755961</v>
      </c>
      <c r="C55" s="16">
        <f aca="true" t="shared" si="6" ref="C55:C70">B55+(0.5*((COS(A55*PI()/180))+1))*$C$4*$B$3/1000</f>
        <v>151.79931373300622</v>
      </c>
      <c r="D55">
        <f aca="true" t="shared" si="7" ref="D55:D70">(0.5*((COS(A55*PI()/180-PI()))+1))*$C$4*$B$3/1000</f>
        <v>5.978487536259057</v>
      </c>
      <c r="F55">
        <f aca="true" t="shared" si="8" ref="F55:F70">(B55+C55+D55)</f>
        <v>158.47596985904087</v>
      </c>
      <c r="G55">
        <f aca="true" t="shared" si="9" ref="G55:G70">$B$17/((C55/$B$8)+(D55/$B$7))/1000</f>
        <v>1.0036149022086707</v>
      </c>
      <c r="H55">
        <f aca="true" t="shared" si="10" ref="H55:H70">$B$22/((C55/$B$8)+(D55/$B$7))/1000</f>
        <v>0.7914341617840047</v>
      </c>
      <c r="I55">
        <f aca="true" t="shared" si="11" ref="I55:I70">(G55-H55)</f>
        <v>0.21218074042466595</v>
      </c>
      <c r="J55">
        <f aca="true" t="shared" si="12" ref="J55:J70">F55</f>
        <v>158.47596985904087</v>
      </c>
      <c r="K55">
        <f aca="true" t="shared" si="13" ref="K55:K70">(G55-H55)</f>
        <v>0.21218074042466595</v>
      </c>
      <c r="L55">
        <f aca="true" t="shared" si="14" ref="L55:L70">SIN(A55*PI()/180)</f>
        <v>0.3826834323650898</v>
      </c>
      <c r="M55">
        <f aca="true" t="shared" si="15" ref="M55:M70">COS(A55*PI()/180)</f>
        <v>0.9238795325112867</v>
      </c>
      <c r="N55">
        <f aca="true" t="shared" si="16" ref="N55:N70">($B$46*L55)</f>
        <v>3.444150891285808</v>
      </c>
      <c r="O55">
        <f aca="true" t="shared" si="17" ref="O55:O70">$B$46*M55</f>
        <v>8.31491579260158</v>
      </c>
      <c r="P55">
        <f aca="true" t="shared" si="18" ref="P55:P70">(($B$47*$B$47)-(N55*N55))^0.5</f>
        <v>24.761619992198714</v>
      </c>
      <c r="Q55">
        <f aca="true" t="shared" si="19" ref="Q55:Q70">(P55+O55)</f>
        <v>33.07653578480029</v>
      </c>
      <c r="R55">
        <f aca="true" t="shared" si="20" ref="R55:R70">ACOS(P55/$B$47)</f>
        <v>0.13820558817993844</v>
      </c>
      <c r="S55">
        <f aca="true" t="shared" si="21" ref="S55:S70">$B$48*SIN(R55)</f>
        <v>3.4441508912858305</v>
      </c>
      <c r="T55">
        <v>1</v>
      </c>
      <c r="U55">
        <f aca="true" t="shared" si="22" ref="U55:U70">S55*T55</f>
        <v>3.4441508912858305</v>
      </c>
      <c r="V55">
        <f aca="true" t="shared" si="23" ref="V55:V70">A55</f>
        <v>22.5</v>
      </c>
      <c r="W55">
        <f aca="true" t="shared" si="24" ref="W55:W70">Q55+U55</f>
        <v>36.52068667608612</v>
      </c>
      <c r="X55">
        <f aca="true" t="shared" si="25" ref="X55:X70">Q55-U55</f>
        <v>29.632384893514462</v>
      </c>
      <c r="Y55">
        <f aca="true" t="shared" si="26" ref="Y55:Y70">$B$48*COS(R55)</f>
        <v>24.761619992198714</v>
      </c>
    </row>
    <row r="56" spans="1:25" ht="12.75">
      <c r="A56">
        <f aca="true" t="shared" si="27" ref="A56:A70">(A55+22.5)</f>
        <v>45</v>
      </c>
      <c r="B56">
        <f t="shared" si="5"/>
        <v>0.33125442642381975</v>
      </c>
      <c r="C56" s="16">
        <f t="shared" si="6"/>
        <v>134.4071074931482</v>
      </c>
      <c r="D56">
        <f t="shared" si="7"/>
        <v>23.003779612765253</v>
      </c>
      <c r="F56">
        <f t="shared" si="8"/>
        <v>157.74214153233726</v>
      </c>
      <c r="G56">
        <f t="shared" si="9"/>
        <v>1.0297095899126516</v>
      </c>
      <c r="H56">
        <f t="shared" si="10"/>
        <v>0.812012002193275</v>
      </c>
      <c r="I56">
        <f t="shared" si="11"/>
        <v>0.21769758771937664</v>
      </c>
      <c r="J56">
        <f t="shared" si="12"/>
        <v>157.74214153233726</v>
      </c>
      <c r="K56">
        <f t="shared" si="13"/>
        <v>0.21769758771937664</v>
      </c>
      <c r="L56">
        <f t="shared" si="14"/>
        <v>0.7071067811865475</v>
      </c>
      <c r="M56">
        <f t="shared" si="15"/>
        <v>0.7071067811865476</v>
      </c>
      <c r="N56">
        <f t="shared" si="16"/>
        <v>6.363961030678928</v>
      </c>
      <c r="O56">
        <f t="shared" si="17"/>
        <v>6.3639610306789285</v>
      </c>
      <c r="P56">
        <f t="shared" si="18"/>
        <v>24.176434807473164</v>
      </c>
      <c r="Q56">
        <f t="shared" si="19"/>
        <v>30.540395838152094</v>
      </c>
      <c r="R56">
        <f t="shared" si="20"/>
        <v>0.2573910753682702</v>
      </c>
      <c r="S56">
        <f t="shared" si="21"/>
        <v>6.3639610306789205</v>
      </c>
      <c r="T56">
        <v>1</v>
      </c>
      <c r="U56">
        <f t="shared" si="22"/>
        <v>6.3639610306789205</v>
      </c>
      <c r="V56">
        <f t="shared" si="23"/>
        <v>45</v>
      </c>
      <c r="W56">
        <f t="shared" si="24"/>
        <v>36.904356868831016</v>
      </c>
      <c r="X56">
        <f t="shared" si="25"/>
        <v>24.17643480747317</v>
      </c>
      <c r="Y56">
        <f t="shared" si="26"/>
        <v>24.176434807473164</v>
      </c>
    </row>
    <row r="57" spans="1:25" ht="12.75">
      <c r="A57">
        <f t="shared" si="27"/>
        <v>67.5</v>
      </c>
      <c r="B57">
        <f t="shared" si="5"/>
        <v>0.08609022052213042</v>
      </c>
      <c r="C57" s="16">
        <f t="shared" si="6"/>
        <v>108.68179305448427</v>
      </c>
      <c r="D57">
        <f t="shared" si="7"/>
        <v>48.48392984552752</v>
      </c>
      <c r="F57">
        <f t="shared" si="8"/>
        <v>157.2518131205339</v>
      </c>
      <c r="G57">
        <f t="shared" si="9"/>
        <v>1.06918410627285</v>
      </c>
      <c r="H57">
        <f t="shared" si="10"/>
        <v>0.8431409548409579</v>
      </c>
      <c r="I57">
        <f t="shared" si="11"/>
        <v>0.22604315143189213</v>
      </c>
      <c r="J57">
        <f t="shared" si="12"/>
        <v>157.2518131205339</v>
      </c>
      <c r="K57">
        <f t="shared" si="13"/>
        <v>0.22604315143189213</v>
      </c>
      <c r="L57">
        <f t="shared" si="14"/>
        <v>0.9238795325112867</v>
      </c>
      <c r="M57">
        <f t="shared" si="15"/>
        <v>0.38268343236508984</v>
      </c>
      <c r="N57">
        <f t="shared" si="16"/>
        <v>8.31491579260158</v>
      </c>
      <c r="O57">
        <f t="shared" si="17"/>
        <v>3.4441508912858083</v>
      </c>
      <c r="P57">
        <f t="shared" si="18"/>
        <v>23.57672953066105</v>
      </c>
      <c r="Q57">
        <f t="shared" si="19"/>
        <v>27.02088042194686</v>
      </c>
      <c r="R57">
        <f t="shared" si="20"/>
        <v>0.33905562720282223</v>
      </c>
      <c r="S57">
        <f t="shared" si="21"/>
        <v>8.31491579260158</v>
      </c>
      <c r="T57">
        <v>1</v>
      </c>
      <c r="U57">
        <f t="shared" si="22"/>
        <v>8.31491579260158</v>
      </c>
      <c r="V57">
        <f t="shared" si="23"/>
        <v>67.5</v>
      </c>
      <c r="W57">
        <f t="shared" si="24"/>
        <v>35.33579621454844</v>
      </c>
      <c r="X57">
        <f t="shared" si="25"/>
        <v>18.70596462934528</v>
      </c>
      <c r="Y57">
        <f t="shared" si="26"/>
        <v>23.57672953066105</v>
      </c>
    </row>
    <row r="58" spans="1:25" ht="12.75">
      <c r="A58">
        <f t="shared" si="27"/>
        <v>90</v>
      </c>
      <c r="B58">
        <f t="shared" si="5"/>
        <v>0</v>
      </c>
      <c r="C58" s="16">
        <f t="shared" si="6"/>
        <v>78.53981633974483</v>
      </c>
      <c r="D58">
        <f t="shared" si="7"/>
        <v>78.53981633974483</v>
      </c>
      <c r="F58">
        <f t="shared" si="8"/>
        <v>157.07963267948966</v>
      </c>
      <c r="G58">
        <f t="shared" si="9"/>
        <v>1.1182033096926713</v>
      </c>
      <c r="H58">
        <f t="shared" si="10"/>
        <v>0.8817966903073288</v>
      </c>
      <c r="I58">
        <f t="shared" si="11"/>
        <v>0.23640661938534258</v>
      </c>
      <c r="J58">
        <f t="shared" si="12"/>
        <v>157.07963267948966</v>
      </c>
      <c r="K58">
        <f t="shared" si="13"/>
        <v>0.23640661938534258</v>
      </c>
      <c r="L58">
        <f t="shared" si="14"/>
        <v>1</v>
      </c>
      <c r="M58">
        <f t="shared" si="15"/>
        <v>6.1257422745431E-17</v>
      </c>
      <c r="N58">
        <f t="shared" si="16"/>
        <v>9</v>
      </c>
      <c r="O58">
        <f t="shared" si="17"/>
        <v>5.51316804708879E-16</v>
      </c>
      <c r="P58">
        <f t="shared" si="18"/>
        <v>23.323807579381203</v>
      </c>
      <c r="Q58">
        <f t="shared" si="19"/>
        <v>23.323807579381203</v>
      </c>
      <c r="R58">
        <f t="shared" si="20"/>
        <v>0.3682678934366397</v>
      </c>
      <c r="S58">
        <f t="shared" si="21"/>
        <v>8.999999999999993</v>
      </c>
      <c r="T58">
        <v>1</v>
      </c>
      <c r="U58">
        <f t="shared" si="22"/>
        <v>8.999999999999993</v>
      </c>
      <c r="V58">
        <f t="shared" si="23"/>
        <v>90</v>
      </c>
      <c r="W58">
        <f t="shared" si="24"/>
        <v>32.323807579381196</v>
      </c>
      <c r="X58">
        <f t="shared" si="25"/>
        <v>14.32380757938121</v>
      </c>
      <c r="Y58">
        <f t="shared" si="26"/>
        <v>23.323807579381203</v>
      </c>
    </row>
    <row r="59" spans="1:25" ht="12.75">
      <c r="A59">
        <f t="shared" si="27"/>
        <v>112.5</v>
      </c>
      <c r="B59">
        <f t="shared" si="5"/>
        <v>0.08609022052213042</v>
      </c>
      <c r="C59" s="16">
        <f t="shared" si="6"/>
        <v>48.57002006604965</v>
      </c>
      <c r="D59">
        <f t="shared" si="7"/>
        <v>108.59570283396215</v>
      </c>
      <c r="F59">
        <f t="shared" si="8"/>
        <v>157.25181312053394</v>
      </c>
      <c r="G59">
        <f t="shared" si="9"/>
        <v>1.1704297551618303</v>
      </c>
      <c r="H59">
        <f t="shared" si="10"/>
        <v>0.9229816039648262</v>
      </c>
      <c r="I59">
        <f t="shared" si="11"/>
        <v>0.24744815119700414</v>
      </c>
      <c r="J59">
        <f t="shared" si="12"/>
        <v>157.25181312053394</v>
      </c>
      <c r="K59">
        <f t="shared" si="13"/>
        <v>0.24744815119700414</v>
      </c>
      <c r="L59">
        <f t="shared" si="14"/>
        <v>0.9238795325112867</v>
      </c>
      <c r="M59">
        <f t="shared" si="15"/>
        <v>-0.3826834323650897</v>
      </c>
      <c r="N59">
        <f t="shared" si="16"/>
        <v>8.31491579260158</v>
      </c>
      <c r="O59">
        <f t="shared" si="17"/>
        <v>-3.4441508912858074</v>
      </c>
      <c r="P59">
        <f t="shared" si="18"/>
        <v>23.57672953066105</v>
      </c>
      <c r="Q59">
        <f t="shared" si="19"/>
        <v>20.132578639375243</v>
      </c>
      <c r="R59">
        <f t="shared" si="20"/>
        <v>0.33905562720282223</v>
      </c>
      <c r="S59">
        <f t="shared" si="21"/>
        <v>8.31491579260158</v>
      </c>
      <c r="T59">
        <v>1</v>
      </c>
      <c r="U59">
        <f t="shared" si="22"/>
        <v>8.31491579260158</v>
      </c>
      <c r="V59">
        <f t="shared" si="23"/>
        <v>112.5</v>
      </c>
      <c r="W59">
        <f t="shared" si="24"/>
        <v>28.44749443197682</v>
      </c>
      <c r="X59">
        <f t="shared" si="25"/>
        <v>11.817662846773663</v>
      </c>
      <c r="Y59">
        <f t="shared" si="26"/>
        <v>23.57672953066105</v>
      </c>
    </row>
    <row r="60" spans="1:25" ht="12.75">
      <c r="A60">
        <f t="shared" si="27"/>
        <v>135</v>
      </c>
      <c r="B60">
        <f t="shared" si="5"/>
        <v>0.33125442642381975</v>
      </c>
      <c r="C60" s="16">
        <f t="shared" si="6"/>
        <v>23.335034039189072</v>
      </c>
      <c r="D60">
        <f t="shared" si="7"/>
        <v>134.0758530667244</v>
      </c>
      <c r="F60">
        <f t="shared" si="8"/>
        <v>157.74214153233729</v>
      </c>
      <c r="G60">
        <f t="shared" si="9"/>
        <v>1.217057940059308</v>
      </c>
      <c r="H60">
        <f t="shared" si="10"/>
        <v>0.9597518216535348</v>
      </c>
      <c r="I60">
        <f t="shared" si="11"/>
        <v>0.2573061184057732</v>
      </c>
      <c r="J60">
        <f t="shared" si="12"/>
        <v>157.74214153233729</v>
      </c>
      <c r="K60">
        <f t="shared" si="13"/>
        <v>0.2573061184057732</v>
      </c>
      <c r="L60">
        <f t="shared" si="14"/>
        <v>0.7071067811865476</v>
      </c>
      <c r="M60">
        <f t="shared" si="15"/>
        <v>-0.7071067811865475</v>
      </c>
      <c r="N60">
        <f t="shared" si="16"/>
        <v>6.3639610306789285</v>
      </c>
      <c r="O60">
        <f t="shared" si="17"/>
        <v>-6.363961030678928</v>
      </c>
      <c r="P60">
        <f t="shared" si="18"/>
        <v>24.176434807473164</v>
      </c>
      <c r="Q60">
        <f t="shared" si="19"/>
        <v>17.812473776794235</v>
      </c>
      <c r="R60">
        <f t="shared" si="20"/>
        <v>0.2573910753682702</v>
      </c>
      <c r="S60">
        <f t="shared" si="21"/>
        <v>6.3639610306789205</v>
      </c>
      <c r="T60">
        <v>1</v>
      </c>
      <c r="U60">
        <f t="shared" si="22"/>
        <v>6.3639610306789205</v>
      </c>
      <c r="V60">
        <f t="shared" si="23"/>
        <v>135</v>
      </c>
      <c r="W60">
        <f t="shared" si="24"/>
        <v>24.176434807473157</v>
      </c>
      <c r="X60">
        <f t="shared" si="25"/>
        <v>11.448512746115314</v>
      </c>
      <c r="Y60">
        <f t="shared" si="26"/>
        <v>24.176434807473164</v>
      </c>
    </row>
    <row r="61" spans="1:25" ht="12.75">
      <c r="A61">
        <f t="shared" si="27"/>
        <v>157.5</v>
      </c>
      <c r="B61">
        <f t="shared" si="5"/>
        <v>0.6981685897755961</v>
      </c>
      <c r="C61" s="16">
        <f t="shared" si="6"/>
        <v>6.676656126034653</v>
      </c>
      <c r="D61">
        <f t="shared" si="7"/>
        <v>151.1011451432306</v>
      </c>
      <c r="F61">
        <f t="shared" si="8"/>
        <v>158.47596985904087</v>
      </c>
      <c r="G61">
        <f t="shared" si="9"/>
        <v>1.248322956368556</v>
      </c>
      <c r="H61">
        <f t="shared" si="10"/>
        <v>0.9844068979396859</v>
      </c>
      <c r="I61">
        <f t="shared" si="11"/>
        <v>0.2639160584288701</v>
      </c>
      <c r="J61">
        <f t="shared" si="12"/>
        <v>158.47596985904087</v>
      </c>
      <c r="K61">
        <f t="shared" si="13"/>
        <v>0.2639160584288701</v>
      </c>
      <c r="L61">
        <f t="shared" si="14"/>
        <v>0.3826834323650899</v>
      </c>
      <c r="M61">
        <f t="shared" si="15"/>
        <v>-0.9238795325112867</v>
      </c>
      <c r="N61">
        <f t="shared" si="16"/>
        <v>3.444150891285809</v>
      </c>
      <c r="O61">
        <f t="shared" si="17"/>
        <v>-8.31491579260158</v>
      </c>
      <c r="P61">
        <f t="shared" si="18"/>
        <v>24.761619992198714</v>
      </c>
      <c r="Q61">
        <f t="shared" si="19"/>
        <v>16.446704199597136</v>
      </c>
      <c r="R61">
        <f t="shared" si="20"/>
        <v>0.13820558817993844</v>
      </c>
      <c r="S61">
        <f t="shared" si="21"/>
        <v>3.4441508912858305</v>
      </c>
      <c r="T61">
        <v>1</v>
      </c>
      <c r="U61">
        <f t="shared" si="22"/>
        <v>3.4441508912858305</v>
      </c>
      <c r="V61">
        <f t="shared" si="23"/>
        <v>157.5</v>
      </c>
      <c r="W61">
        <f t="shared" si="24"/>
        <v>19.890855090882965</v>
      </c>
      <c r="X61">
        <f t="shared" si="25"/>
        <v>13.002553308311306</v>
      </c>
      <c r="Y61">
        <f t="shared" si="26"/>
        <v>24.761619992198714</v>
      </c>
    </row>
    <row r="62" spans="1:25" ht="12.75">
      <c r="A62">
        <f t="shared" si="27"/>
        <v>180</v>
      </c>
      <c r="B62">
        <f t="shared" si="5"/>
        <v>1.1309733552923253</v>
      </c>
      <c r="C62" s="16">
        <f t="shared" si="6"/>
        <v>1.1309733552923253</v>
      </c>
      <c r="D62">
        <f t="shared" si="7"/>
        <v>157.07963267948966</v>
      </c>
      <c r="F62">
        <f t="shared" si="8"/>
        <v>159.34157939007432</v>
      </c>
      <c r="G62">
        <f t="shared" si="9"/>
        <v>1.256623174575511</v>
      </c>
      <c r="H62">
        <f t="shared" si="10"/>
        <v>0.9909523131430563</v>
      </c>
      <c r="I62">
        <f t="shared" si="11"/>
        <v>0.26567086143245466</v>
      </c>
      <c r="J62">
        <f t="shared" si="12"/>
        <v>159.34157939007432</v>
      </c>
      <c r="K62">
        <f t="shared" si="13"/>
        <v>0.26567086143245466</v>
      </c>
      <c r="L62">
        <f t="shared" si="14"/>
        <v>1.22514845490862E-16</v>
      </c>
      <c r="M62">
        <f t="shared" si="15"/>
        <v>-1</v>
      </c>
      <c r="N62">
        <f t="shared" si="16"/>
        <v>1.102633609417758E-15</v>
      </c>
      <c r="O62">
        <f t="shared" si="17"/>
        <v>-9</v>
      </c>
      <c r="P62">
        <f t="shared" si="18"/>
        <v>25</v>
      </c>
      <c r="Q62">
        <f t="shared" si="19"/>
        <v>16</v>
      </c>
      <c r="R62">
        <f t="shared" si="20"/>
        <v>0</v>
      </c>
      <c r="S62">
        <f t="shared" si="21"/>
        <v>0</v>
      </c>
      <c r="T62">
        <v>-1</v>
      </c>
      <c r="U62">
        <f t="shared" si="22"/>
        <v>0</v>
      </c>
      <c r="V62">
        <f t="shared" si="23"/>
        <v>180</v>
      </c>
      <c r="W62">
        <f t="shared" si="24"/>
        <v>16</v>
      </c>
      <c r="X62">
        <f t="shared" si="25"/>
        <v>16</v>
      </c>
      <c r="Y62">
        <f t="shared" si="26"/>
        <v>25</v>
      </c>
    </row>
    <row r="63" spans="1:25" ht="12.75">
      <c r="A63">
        <f t="shared" si="27"/>
        <v>202.5</v>
      </c>
      <c r="B63">
        <f t="shared" si="5"/>
        <v>1.5637781208090542</v>
      </c>
      <c r="C63" s="16">
        <f t="shared" si="6"/>
        <v>7.542265657068094</v>
      </c>
      <c r="D63">
        <f t="shared" si="7"/>
        <v>151.1011451432306</v>
      </c>
      <c r="F63">
        <f t="shared" si="8"/>
        <v>160.20718892110776</v>
      </c>
      <c r="G63">
        <f t="shared" si="9"/>
        <v>1.2397943364965625</v>
      </c>
      <c r="H63">
        <f t="shared" si="10"/>
        <v>0.9776813689497206</v>
      </c>
      <c r="I63">
        <f t="shared" si="11"/>
        <v>0.2621129675468419</v>
      </c>
      <c r="J63">
        <f t="shared" si="12"/>
        <v>160.20718892110776</v>
      </c>
      <c r="K63">
        <f t="shared" si="13"/>
        <v>0.2621129675468419</v>
      </c>
      <c r="L63">
        <f t="shared" si="14"/>
        <v>-0.3826834323650892</v>
      </c>
      <c r="M63">
        <f t="shared" si="15"/>
        <v>-0.923879532511287</v>
      </c>
      <c r="N63">
        <f t="shared" si="16"/>
        <v>-3.444150891285803</v>
      </c>
      <c r="O63">
        <f t="shared" si="17"/>
        <v>-8.314915792601582</v>
      </c>
      <c r="P63">
        <f t="shared" si="18"/>
        <v>24.761619992198717</v>
      </c>
      <c r="Q63">
        <f t="shared" si="19"/>
        <v>16.446704199597136</v>
      </c>
      <c r="R63">
        <f t="shared" si="20"/>
        <v>0.13820558817993756</v>
      </c>
      <c r="S63">
        <f t="shared" si="21"/>
        <v>3.4441508912858083</v>
      </c>
      <c r="T63">
        <v>-1</v>
      </c>
      <c r="U63">
        <f t="shared" si="22"/>
        <v>-3.4441508912858083</v>
      </c>
      <c r="V63">
        <f t="shared" si="23"/>
        <v>202.5</v>
      </c>
      <c r="W63">
        <f t="shared" si="24"/>
        <v>13.002553308311327</v>
      </c>
      <c r="X63">
        <f t="shared" si="25"/>
        <v>19.890855090882944</v>
      </c>
      <c r="Y63">
        <f t="shared" si="26"/>
        <v>24.761619992198717</v>
      </c>
    </row>
    <row r="64" spans="1:25" ht="12.75">
      <c r="A64">
        <f t="shared" si="27"/>
        <v>225</v>
      </c>
      <c r="B64">
        <f t="shared" si="5"/>
        <v>1.9306922841608312</v>
      </c>
      <c r="C64" s="16">
        <f t="shared" si="6"/>
        <v>24.93447189692607</v>
      </c>
      <c r="D64">
        <f t="shared" si="7"/>
        <v>134.0758530667244</v>
      </c>
      <c r="F64">
        <f t="shared" si="8"/>
        <v>160.9410172478113</v>
      </c>
      <c r="G64">
        <f t="shared" si="9"/>
        <v>1.202160176225463</v>
      </c>
      <c r="H64">
        <f t="shared" si="10"/>
        <v>0.9480036907655343</v>
      </c>
      <c r="I64">
        <f t="shared" si="11"/>
        <v>0.25415648545992875</v>
      </c>
      <c r="J64">
        <f t="shared" si="12"/>
        <v>160.9410172478113</v>
      </c>
      <c r="K64">
        <f t="shared" si="13"/>
        <v>0.25415648545992875</v>
      </c>
      <c r="L64">
        <f t="shared" si="14"/>
        <v>-0.7071067811865475</v>
      </c>
      <c r="M64">
        <f t="shared" si="15"/>
        <v>-0.7071067811865477</v>
      </c>
      <c r="N64">
        <f t="shared" si="16"/>
        <v>-6.363961030678928</v>
      </c>
      <c r="O64">
        <f t="shared" si="17"/>
        <v>-6.363961030678929</v>
      </c>
      <c r="P64">
        <f t="shared" si="18"/>
        <v>24.176434807473164</v>
      </c>
      <c r="Q64">
        <f t="shared" si="19"/>
        <v>17.812473776794235</v>
      </c>
      <c r="R64">
        <f t="shared" si="20"/>
        <v>0.2573910753682702</v>
      </c>
      <c r="S64">
        <f t="shared" si="21"/>
        <v>6.3639610306789205</v>
      </c>
      <c r="T64">
        <v>-1</v>
      </c>
      <c r="U64">
        <f t="shared" si="22"/>
        <v>-6.3639610306789205</v>
      </c>
      <c r="V64">
        <f t="shared" si="23"/>
        <v>225</v>
      </c>
      <c r="W64">
        <f t="shared" si="24"/>
        <v>11.448512746115314</v>
      </c>
      <c r="X64">
        <f t="shared" si="25"/>
        <v>24.176434807473157</v>
      </c>
      <c r="Y64">
        <f t="shared" si="26"/>
        <v>24.176434807473164</v>
      </c>
    </row>
    <row r="65" spans="1:25" ht="12.75">
      <c r="A65">
        <f t="shared" si="27"/>
        <v>247.5</v>
      </c>
      <c r="B65">
        <f t="shared" si="5"/>
        <v>2.175856490062521</v>
      </c>
      <c r="C65" s="16">
        <f t="shared" si="6"/>
        <v>50.659786335590056</v>
      </c>
      <c r="D65">
        <f t="shared" si="7"/>
        <v>108.59570283396212</v>
      </c>
      <c r="F65">
        <f t="shared" si="8"/>
        <v>161.4313456596147</v>
      </c>
      <c r="G65">
        <f t="shared" si="9"/>
        <v>1.1524841481613892</v>
      </c>
      <c r="H65">
        <f t="shared" si="10"/>
        <v>0.9088299942160638</v>
      </c>
      <c r="I65">
        <f t="shared" si="11"/>
        <v>0.2436541539453254</v>
      </c>
      <c r="J65">
        <f t="shared" si="12"/>
        <v>161.4313456596147</v>
      </c>
      <c r="K65">
        <f t="shared" si="13"/>
        <v>0.2436541539453254</v>
      </c>
      <c r="L65">
        <f t="shared" si="14"/>
        <v>-0.9238795325112868</v>
      </c>
      <c r="M65">
        <f t="shared" si="15"/>
        <v>-0.3826834323650895</v>
      </c>
      <c r="N65">
        <f t="shared" si="16"/>
        <v>-8.314915792601582</v>
      </c>
      <c r="O65">
        <f t="shared" si="17"/>
        <v>-3.4441508912858056</v>
      </c>
      <c r="P65">
        <f t="shared" si="18"/>
        <v>23.576729530661048</v>
      </c>
      <c r="Q65">
        <f t="shared" si="19"/>
        <v>20.132578639375243</v>
      </c>
      <c r="R65">
        <f t="shared" si="20"/>
        <v>0.33905562720282245</v>
      </c>
      <c r="S65">
        <f t="shared" si="21"/>
        <v>8.314915792601585</v>
      </c>
      <c r="T65">
        <v>-1</v>
      </c>
      <c r="U65">
        <f t="shared" si="22"/>
        <v>-8.314915792601585</v>
      </c>
      <c r="V65">
        <f t="shared" si="23"/>
        <v>247.5</v>
      </c>
      <c r="W65">
        <f t="shared" si="24"/>
        <v>11.817662846773658</v>
      </c>
      <c r="X65">
        <f t="shared" si="25"/>
        <v>28.44749443197683</v>
      </c>
      <c r="Y65">
        <f t="shared" si="26"/>
        <v>23.576729530661048</v>
      </c>
    </row>
    <row r="66" spans="1:25" ht="12.75">
      <c r="A66">
        <f t="shared" si="27"/>
        <v>270</v>
      </c>
      <c r="B66">
        <f t="shared" si="5"/>
        <v>2.261946710584651</v>
      </c>
      <c r="C66" s="16">
        <f t="shared" si="6"/>
        <v>80.80176305032946</v>
      </c>
      <c r="D66">
        <f t="shared" si="7"/>
        <v>78.53981633974483</v>
      </c>
      <c r="F66">
        <f t="shared" si="8"/>
        <v>161.60352610065894</v>
      </c>
      <c r="G66">
        <f t="shared" si="9"/>
        <v>1.1004831888978233</v>
      </c>
      <c r="H66">
        <f t="shared" si="10"/>
        <v>0.8678228952619198</v>
      </c>
      <c r="I66">
        <f t="shared" si="11"/>
        <v>0.23266029363590346</v>
      </c>
      <c r="J66">
        <f t="shared" si="12"/>
        <v>161.60352610065894</v>
      </c>
      <c r="K66">
        <f t="shared" si="13"/>
        <v>0.23266029363590346</v>
      </c>
      <c r="L66">
        <f t="shared" si="14"/>
        <v>-1</v>
      </c>
      <c r="M66">
        <f t="shared" si="15"/>
        <v>-1.83772268236293E-16</v>
      </c>
      <c r="N66">
        <f t="shared" si="16"/>
        <v>-9</v>
      </c>
      <c r="O66">
        <f t="shared" si="17"/>
        <v>-1.653950414126637E-15</v>
      </c>
      <c r="P66">
        <f t="shared" si="18"/>
        <v>23.323807579381203</v>
      </c>
      <c r="Q66">
        <f t="shared" si="19"/>
        <v>23.323807579381203</v>
      </c>
      <c r="R66">
        <f t="shared" si="20"/>
        <v>0.3682678934366397</v>
      </c>
      <c r="S66">
        <f t="shared" si="21"/>
        <v>8.999999999999993</v>
      </c>
      <c r="T66">
        <v>-1</v>
      </c>
      <c r="U66">
        <f t="shared" si="22"/>
        <v>-8.999999999999993</v>
      </c>
      <c r="V66">
        <f t="shared" si="23"/>
        <v>270</v>
      </c>
      <c r="W66">
        <f t="shared" si="24"/>
        <v>14.32380757938121</v>
      </c>
      <c r="X66">
        <f t="shared" si="25"/>
        <v>32.323807579381196</v>
      </c>
      <c r="Y66">
        <f t="shared" si="26"/>
        <v>23.323807579381203</v>
      </c>
    </row>
    <row r="67" spans="1:25" ht="12.75">
      <c r="A67">
        <f t="shared" si="27"/>
        <v>292.5</v>
      </c>
      <c r="B67">
        <f t="shared" si="5"/>
        <v>2.1758564900625204</v>
      </c>
      <c r="C67" s="16">
        <f t="shared" si="6"/>
        <v>110.77155932402468</v>
      </c>
      <c r="D67">
        <f t="shared" si="7"/>
        <v>48.48392984552749</v>
      </c>
      <c r="F67">
        <f t="shared" si="8"/>
        <v>161.4313456596147</v>
      </c>
      <c r="G67">
        <f t="shared" si="9"/>
        <v>1.0541890250407606</v>
      </c>
      <c r="H67">
        <f t="shared" si="10"/>
        <v>0.8313160810575133</v>
      </c>
      <c r="I67">
        <f t="shared" si="11"/>
        <v>0.2228729439832473</v>
      </c>
      <c r="J67">
        <f t="shared" si="12"/>
        <v>161.4313456596147</v>
      </c>
      <c r="K67">
        <f t="shared" si="13"/>
        <v>0.2228729439832473</v>
      </c>
      <c r="L67">
        <f t="shared" si="14"/>
        <v>-0.9238795325112866</v>
      </c>
      <c r="M67">
        <f t="shared" si="15"/>
        <v>0.38268343236509</v>
      </c>
      <c r="N67">
        <f t="shared" si="16"/>
        <v>-8.31491579260158</v>
      </c>
      <c r="O67">
        <f t="shared" si="17"/>
        <v>3.44415089128581</v>
      </c>
      <c r="P67">
        <f t="shared" si="18"/>
        <v>23.57672953066105</v>
      </c>
      <c r="Q67">
        <f t="shared" si="19"/>
        <v>27.020880421946863</v>
      </c>
      <c r="R67">
        <f t="shared" si="20"/>
        <v>0.33905562720282223</v>
      </c>
      <c r="S67">
        <f t="shared" si="21"/>
        <v>8.31491579260158</v>
      </c>
      <c r="T67">
        <v>-1</v>
      </c>
      <c r="U67">
        <f t="shared" si="22"/>
        <v>-8.31491579260158</v>
      </c>
      <c r="V67">
        <f t="shared" si="23"/>
        <v>292.5</v>
      </c>
      <c r="W67">
        <f t="shared" si="24"/>
        <v>18.70596462934528</v>
      </c>
      <c r="X67">
        <f t="shared" si="25"/>
        <v>35.335796214548445</v>
      </c>
      <c r="Y67">
        <f t="shared" si="26"/>
        <v>23.57672953066105</v>
      </c>
    </row>
    <row r="68" spans="1:25" ht="12.75">
      <c r="A68">
        <f t="shared" si="27"/>
        <v>315</v>
      </c>
      <c r="B68">
        <f t="shared" si="5"/>
        <v>1.9306922841608318</v>
      </c>
      <c r="C68" s="16">
        <f t="shared" si="6"/>
        <v>136.00654535088523</v>
      </c>
      <c r="D68">
        <f t="shared" si="7"/>
        <v>23.003779612765253</v>
      </c>
      <c r="F68">
        <f t="shared" si="8"/>
        <v>160.94101724781132</v>
      </c>
      <c r="G68">
        <f t="shared" si="9"/>
        <v>1.0190252621539704</v>
      </c>
      <c r="H68">
        <f t="shared" si="10"/>
        <v>0.8035865175125391</v>
      </c>
      <c r="I68">
        <f t="shared" si="11"/>
        <v>0.2154387446414313</v>
      </c>
      <c r="J68">
        <f t="shared" si="12"/>
        <v>160.94101724781132</v>
      </c>
      <c r="K68">
        <f t="shared" si="13"/>
        <v>0.2154387446414313</v>
      </c>
      <c r="L68">
        <f t="shared" si="14"/>
        <v>-0.7071067811865477</v>
      </c>
      <c r="M68">
        <f t="shared" si="15"/>
        <v>0.7071067811865474</v>
      </c>
      <c r="N68">
        <f t="shared" si="16"/>
        <v>-6.363961030678929</v>
      </c>
      <c r="O68">
        <f t="shared" si="17"/>
        <v>6.363961030678926</v>
      </c>
      <c r="P68">
        <f t="shared" si="18"/>
        <v>24.176434807473164</v>
      </c>
      <c r="Q68">
        <f t="shared" si="19"/>
        <v>30.54039583815209</v>
      </c>
      <c r="R68">
        <f t="shared" si="20"/>
        <v>0.2573910753682702</v>
      </c>
      <c r="S68">
        <f t="shared" si="21"/>
        <v>6.3639610306789205</v>
      </c>
      <c r="T68">
        <v>-1</v>
      </c>
      <c r="U68">
        <f t="shared" si="22"/>
        <v>-6.3639610306789205</v>
      </c>
      <c r="V68">
        <f t="shared" si="23"/>
        <v>315</v>
      </c>
      <c r="W68">
        <f t="shared" si="24"/>
        <v>24.17643480747317</v>
      </c>
      <c r="X68">
        <f t="shared" si="25"/>
        <v>36.90435686883101</v>
      </c>
      <c r="Y68">
        <f t="shared" si="26"/>
        <v>24.176434807473164</v>
      </c>
    </row>
    <row r="69" spans="1:25" ht="12.75">
      <c r="A69">
        <f t="shared" si="27"/>
        <v>337.5</v>
      </c>
      <c r="B69">
        <f t="shared" si="5"/>
        <v>1.5637781208090547</v>
      </c>
      <c r="C69" s="16">
        <f t="shared" si="6"/>
        <v>152.66492326403966</v>
      </c>
      <c r="D69">
        <f t="shared" si="7"/>
        <v>5.978487536259048</v>
      </c>
      <c r="F69">
        <f t="shared" si="8"/>
        <v>160.20718892110776</v>
      </c>
      <c r="G69">
        <f t="shared" si="9"/>
        <v>0.9980948767547027</v>
      </c>
      <c r="H69">
        <f t="shared" si="10"/>
        <v>0.7870811607389093</v>
      </c>
      <c r="I69">
        <f t="shared" si="11"/>
        <v>0.21101371601579333</v>
      </c>
      <c r="J69">
        <f t="shared" si="12"/>
        <v>160.20718892110776</v>
      </c>
      <c r="K69">
        <f t="shared" si="13"/>
        <v>0.21101371601579333</v>
      </c>
      <c r="L69">
        <f t="shared" si="14"/>
        <v>-0.38268343236508956</v>
      </c>
      <c r="M69">
        <f t="shared" si="15"/>
        <v>0.9238795325112868</v>
      </c>
      <c r="N69">
        <f t="shared" si="16"/>
        <v>-3.444150891285806</v>
      </c>
      <c r="O69">
        <f t="shared" si="17"/>
        <v>8.314915792601582</v>
      </c>
      <c r="P69">
        <f t="shared" si="18"/>
        <v>24.761619992198717</v>
      </c>
      <c r="Q69">
        <f t="shared" si="19"/>
        <v>33.0765357848003</v>
      </c>
      <c r="R69">
        <f t="shared" si="20"/>
        <v>0.13820558817993756</v>
      </c>
      <c r="S69">
        <f t="shared" si="21"/>
        <v>3.4441508912858083</v>
      </c>
      <c r="T69">
        <v>-1</v>
      </c>
      <c r="U69">
        <f t="shared" si="22"/>
        <v>-3.4441508912858083</v>
      </c>
      <c r="V69">
        <f t="shared" si="23"/>
        <v>337.5</v>
      </c>
      <c r="W69">
        <f t="shared" si="24"/>
        <v>29.63238489351449</v>
      </c>
      <c r="X69">
        <f t="shared" si="25"/>
        <v>36.52068667608611</v>
      </c>
      <c r="Y69">
        <f t="shared" si="26"/>
        <v>24.761619992198717</v>
      </c>
    </row>
    <row r="70" spans="1:25" ht="12.75">
      <c r="A70">
        <f t="shared" si="27"/>
        <v>360</v>
      </c>
      <c r="B70">
        <f t="shared" si="5"/>
        <v>1.130973355292326</v>
      </c>
      <c r="C70" s="16">
        <f t="shared" si="6"/>
        <v>158.210606034782</v>
      </c>
      <c r="D70">
        <f t="shared" si="7"/>
        <v>0</v>
      </c>
      <c r="F70">
        <f t="shared" si="8"/>
        <v>159.34157939007432</v>
      </c>
      <c r="G70">
        <f t="shared" si="9"/>
        <v>0.9928514694201748</v>
      </c>
      <c r="H70">
        <f t="shared" si="10"/>
        <v>0.7829462961812372</v>
      </c>
      <c r="I70">
        <f t="shared" si="11"/>
        <v>0.20990517323893754</v>
      </c>
      <c r="J70">
        <f t="shared" si="12"/>
        <v>159.34157939007432</v>
      </c>
      <c r="K70">
        <f t="shared" si="13"/>
        <v>0.20990517323893754</v>
      </c>
      <c r="L70">
        <f t="shared" si="14"/>
        <v>-2.45029690981724E-16</v>
      </c>
      <c r="M70">
        <f t="shared" si="15"/>
        <v>1</v>
      </c>
      <c r="N70">
        <f t="shared" si="16"/>
        <v>-2.205267218835516E-15</v>
      </c>
      <c r="O70">
        <f t="shared" si="17"/>
        <v>9</v>
      </c>
      <c r="P70">
        <f t="shared" si="18"/>
        <v>25</v>
      </c>
      <c r="Q70">
        <f t="shared" si="19"/>
        <v>34</v>
      </c>
      <c r="R70">
        <f t="shared" si="20"/>
        <v>0</v>
      </c>
      <c r="S70">
        <f t="shared" si="21"/>
        <v>0</v>
      </c>
      <c r="T70">
        <v>-1</v>
      </c>
      <c r="U70">
        <f t="shared" si="22"/>
        <v>0</v>
      </c>
      <c r="V70">
        <f t="shared" si="23"/>
        <v>360</v>
      </c>
      <c r="W70">
        <f t="shared" si="24"/>
        <v>34</v>
      </c>
      <c r="X70">
        <f t="shared" si="25"/>
        <v>34</v>
      </c>
      <c r="Y70">
        <f t="shared" si="26"/>
        <v>25</v>
      </c>
    </row>
    <row r="87" spans="8:9" ht="12.75">
      <c r="H87" t="s">
        <v>18</v>
      </c>
      <c r="I87">
        <f>AVERAGE(I54:I69)</f>
        <v>0.23615523543079928</v>
      </c>
    </row>
    <row r="89" spans="1:2" ht="12.75">
      <c r="A89" t="s">
        <v>36</v>
      </c>
      <c r="B89">
        <f>$I$87*$C$6/100</f>
        <v>0.06677131974625503</v>
      </c>
    </row>
    <row r="90" spans="1:2" ht="12.75">
      <c r="A90" t="s">
        <v>53</v>
      </c>
      <c r="B90">
        <f>$B$89*9.81*$B$3/1000</f>
        <v>0.052402131736860945</v>
      </c>
    </row>
    <row r="91" spans="1:2" ht="12.75">
      <c r="A91" t="s">
        <v>41</v>
      </c>
      <c r="B91">
        <f>$B$38/60*$B$90</f>
        <v>0.8733688622810158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Truscott</dc:creator>
  <cp:keywords/>
  <dc:description/>
  <cp:lastModifiedBy>Boak</cp:lastModifiedBy>
  <dcterms:created xsi:type="dcterms:W3CDTF">2000-10-15T11:04:46Z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