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0" windowWidth="15300" windowHeight="8490" activeTab="0"/>
  </bookViews>
  <sheets>
    <sheet name="Sheet1" sheetId="1" r:id="rId1"/>
    <sheet name="Sheet2" sheetId="2" r:id="rId2"/>
    <sheet name="Sheet3" sheetId="3" r:id="rId3"/>
  </sheets>
  <definedNames>
    <definedName name="annular_space_temp">'Sheet1'!$B$10</definedName>
    <definedName name="Cold_end_area">'Sheet1'!$D$12</definedName>
    <definedName name="cold_temp">'Sheet1'!$B$9</definedName>
    <definedName name="Displacer_End_area">'Sheet1'!$D$5</definedName>
    <definedName name="Heater_End_area">'Sheet1'!$D$4</definedName>
    <definedName name="Hot_temp">'Sheet1'!$B$8</definedName>
    <definedName name="K">'Sheet1'!$G$15</definedName>
    <definedName name="k_comp">'Sheet1'!$G$26</definedName>
    <definedName name="Piston_End_area">'Sheet1'!$D$11</definedName>
    <definedName name="Piston_stroke">'Sheet1'!$B$12</definedName>
    <definedName name="Port_width">'Sheet1'!$B$13</definedName>
    <definedName name="pressure">'Sheet1'!$H$4</definedName>
    <definedName name="Regen_vol">'Sheet1'!$D$7</definedName>
  </definedNames>
  <calcPr fullCalcOnLoad="1"/>
</workbook>
</file>

<file path=xl/sharedStrings.xml><?xml version="1.0" encoding="utf-8"?>
<sst xmlns="http://schemas.openxmlformats.org/spreadsheetml/2006/main" count="61" uniqueCount="47">
  <si>
    <t>Manson Engine 6/11/2000</t>
  </si>
  <si>
    <t>Uses stuff learned from engine #1</t>
  </si>
  <si>
    <t>Heater dia</t>
  </si>
  <si>
    <t>Displacer dia</t>
  </si>
  <si>
    <t>Displacer length</t>
  </si>
  <si>
    <t>Hot temp</t>
  </si>
  <si>
    <t>cold temp</t>
  </si>
  <si>
    <t>annular space temp</t>
  </si>
  <si>
    <t>Piston dia</t>
  </si>
  <si>
    <t>Piston stroke</t>
  </si>
  <si>
    <t>Port width</t>
  </si>
  <si>
    <t>Regen area</t>
  </si>
  <si>
    <t>Port shuts and pressure is ambient</t>
  </si>
  <si>
    <t>squ mm</t>
  </si>
  <si>
    <t>cub mm</t>
  </si>
  <si>
    <t>kg/squ cm</t>
  </si>
  <si>
    <t>K=</t>
  </si>
  <si>
    <t>Ambient air pressure</t>
  </si>
  <si>
    <t>Heater End area</t>
  </si>
  <si>
    <t>Displacer End area</t>
  </si>
  <si>
    <t>Piston End area</t>
  </si>
  <si>
    <t xml:space="preserve">Regen vol </t>
  </si>
  <si>
    <t>Cold end area</t>
  </si>
  <si>
    <t>(k of hot end + k of regen + k of cold end)</t>
  </si>
  <si>
    <t>Tdc</t>
  </si>
  <si>
    <t>BDC</t>
  </si>
  <si>
    <t>Hot volume</t>
  </si>
  <si>
    <t>Regen volume</t>
  </si>
  <si>
    <t>Cold volume</t>
  </si>
  <si>
    <t>Pressure</t>
  </si>
  <si>
    <t>K</t>
  </si>
  <si>
    <t xml:space="preserve"> </t>
  </si>
  <si>
    <t>Piston returns to TDC</t>
  </si>
  <si>
    <t>Piston outward to BCD</t>
  </si>
  <si>
    <t>(k of cold end + k of regen + k of hot end)</t>
  </si>
  <si>
    <t>Heat area/Swept Vol</t>
  </si>
  <si>
    <t>Average pressure =</t>
  </si>
  <si>
    <t>Average press on piston=</t>
  </si>
  <si>
    <t>Kg/squ cm</t>
  </si>
  <si>
    <t>Piston Position</t>
  </si>
  <si>
    <t>Thrust on the piston =</t>
  </si>
  <si>
    <t>kg</t>
  </si>
  <si>
    <t>Use yellow boxes for your data</t>
  </si>
  <si>
    <t>This sheet takes into account the ports being open and the volume beside the displacer.</t>
  </si>
  <si>
    <t>I am keen to see how this shapes up to actual measurements</t>
  </si>
  <si>
    <t>Steve Truscott</t>
  </si>
  <si>
    <t>Don’t forget the distance is double as the pressure works both ways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</si>
</sst>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2">
    <font>
      <sz val="10"/>
      <name val="Arial"/>
      <family val="0"/>
    </font>
    <font>
      <sz val="12"/>
      <name val="Arial"/>
      <family val="0"/>
    </font>
  </fonts>
  <fills count="3">
    <fill>
      <patternFill/>
    </fill>
    <fill>
      <patternFill patternType="gray125"/>
    </fill>
    <fill>
      <patternFill patternType="solid">
        <fgColor indexed="13"/>
        <bgColor indexed="64"/>
      </patternFill>
    </fill>
  </fills>
  <borders count="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9" fontId="0" fillId="0" borderId="0" xfId="0" applyNumberFormat="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tx>
            <c:v>Expansion</c:v>
          </c:tx>
          <c:extLst>
            <c:ext xmlns:c14="http://schemas.microsoft.com/office/drawing/2007/8/2/chart" uri="{6F2FDCE9-48DA-4B69-8628-5D25D57E5C99}">
              <c14:invertSolidFillFmt>
                <c14:spPr>
                  <a:solidFill>
                    <a:srgbClr val="000000"/>
                  </a:solidFill>
                </c14:spPr>
              </c14:invertSolidFillFmt>
            </c:ext>
          </c:extLst>
          <c:marker>
            <c:symbol val="diamond"/>
          </c:marker>
          <c:xVal>
            <c:numRef>
              <c:f>Sheet1!$B$18:$N$18</c:f>
              <c:numCache/>
            </c:numRef>
          </c:xVal>
          <c:yVal>
            <c:numRef>
              <c:f>Sheet1!$B$23:$N$23</c:f>
              <c:numCache/>
            </c:numRef>
          </c:yVal>
          <c:smooth val="1"/>
        </c:ser>
        <c:ser>
          <c:idx val="1"/>
          <c:order val="1"/>
          <c:tx>
            <c:v>Compression</c:v>
          </c:tx>
          <c:extLst>
            <c:ext xmlns:c14="http://schemas.microsoft.com/office/drawing/2007/8/2/chart" uri="{6F2FDCE9-48DA-4B69-8628-5D25D57E5C99}">
              <c14:invertSolidFillFmt>
                <c14:spPr>
                  <a:solidFill>
                    <a:srgbClr val="000000"/>
                  </a:solidFill>
                </c14:spPr>
              </c14:invertSolidFillFmt>
            </c:ext>
          </c:extLst>
          <c:marker>
            <c:symbol val="square"/>
          </c:marker>
          <c:xVal>
            <c:numRef>
              <c:f>Sheet1!$B$18:$N$18</c:f>
              <c:numCache/>
            </c:numRef>
          </c:xVal>
          <c:yVal>
            <c:numRef>
              <c:f>Sheet1!$B$34:$N$34</c:f>
              <c:numCache/>
            </c:numRef>
          </c:yVal>
          <c:smooth val="1"/>
        </c:ser>
        <c:axId val="61487540"/>
        <c:axId val="16516949"/>
      </c:scatterChart>
      <c:valAx>
        <c:axId val="61487540"/>
        <c:scaling>
          <c:orientation val="minMax"/>
        </c:scaling>
        <c:axPos val="b"/>
        <c:delete val="0"/>
        <c:numFmt formatCode="General" sourceLinked="1"/>
        <c:majorTickMark val="out"/>
        <c:minorTickMark val="none"/>
        <c:tickLblPos val="nextTo"/>
        <c:crossAx val="16516949"/>
        <c:crosses val="autoZero"/>
        <c:crossBetween val="midCat"/>
        <c:dispUnits/>
      </c:valAx>
      <c:valAx>
        <c:axId val="16516949"/>
        <c:scaling>
          <c:orientation val="minMax"/>
        </c:scaling>
        <c:axPos val="l"/>
        <c:majorGridlines/>
        <c:delete val="0"/>
        <c:numFmt formatCode="General" sourceLinked="1"/>
        <c:majorTickMark val="out"/>
        <c:minorTickMark val="none"/>
        <c:tickLblPos val="nextTo"/>
        <c:crossAx val="61487540"/>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36</xdr:row>
      <xdr:rowOff>57150</xdr:rowOff>
    </xdr:from>
    <xdr:to>
      <xdr:col>8</xdr:col>
      <xdr:colOff>571500</xdr:colOff>
      <xdr:row>60</xdr:row>
      <xdr:rowOff>133350</xdr:rowOff>
    </xdr:to>
    <xdr:graphicFrame>
      <xdr:nvGraphicFramePr>
        <xdr:cNvPr id="1" name="Chart 2"/>
        <xdr:cNvGraphicFramePr/>
      </xdr:nvGraphicFramePr>
      <xdr:xfrm>
        <a:off x="247650" y="5886450"/>
        <a:ext cx="6324600" cy="3962400"/>
      </xdr:xfrm>
      <a:graphic>
        <a:graphicData uri="http://schemas.openxmlformats.org/drawingml/2006/chart">
          <c:chart xmlns:c="http://schemas.openxmlformats.org/drawingml/2006/chart" r:id="rId1"/>
        </a:graphicData>
      </a:graphic>
    </xdr:graphicFrame>
    <xdr:clientData/>
  </xdr:twoCellAnchor>
  <xdr:twoCellAnchor>
    <xdr:from>
      <xdr:col>10</xdr:col>
      <xdr:colOff>333375</xdr:colOff>
      <xdr:row>45</xdr:row>
      <xdr:rowOff>47625</xdr:rowOff>
    </xdr:from>
    <xdr:to>
      <xdr:col>13</xdr:col>
      <xdr:colOff>571500</xdr:colOff>
      <xdr:row>55</xdr:row>
      <xdr:rowOff>104775</xdr:rowOff>
    </xdr:to>
    <xdr:sp>
      <xdr:nvSpPr>
        <xdr:cNvPr id="2" name="Rectangle 3"/>
        <xdr:cNvSpPr>
          <a:spLocks/>
        </xdr:cNvSpPr>
      </xdr:nvSpPr>
      <xdr:spPr>
        <a:xfrm>
          <a:off x="7553325" y="7334250"/>
          <a:ext cx="2066925" cy="167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571500</xdr:colOff>
      <xdr:row>47</xdr:row>
      <xdr:rowOff>95250</xdr:rowOff>
    </xdr:from>
    <xdr:to>
      <xdr:col>16</xdr:col>
      <xdr:colOff>133350</xdr:colOff>
      <xdr:row>53</xdr:row>
      <xdr:rowOff>28575</xdr:rowOff>
    </xdr:to>
    <xdr:sp>
      <xdr:nvSpPr>
        <xdr:cNvPr id="3" name="Rectangle 4"/>
        <xdr:cNvSpPr>
          <a:spLocks/>
        </xdr:cNvSpPr>
      </xdr:nvSpPr>
      <xdr:spPr>
        <a:xfrm>
          <a:off x="9620250" y="7705725"/>
          <a:ext cx="1390650" cy="904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180975</xdr:colOff>
      <xdr:row>48</xdr:row>
      <xdr:rowOff>0</xdr:rowOff>
    </xdr:from>
    <xdr:to>
      <xdr:col>15</xdr:col>
      <xdr:colOff>438150</xdr:colOff>
      <xdr:row>52</xdr:row>
      <xdr:rowOff>114300</xdr:rowOff>
    </xdr:to>
    <xdr:sp>
      <xdr:nvSpPr>
        <xdr:cNvPr id="4" name="Rectangle 5"/>
        <xdr:cNvSpPr>
          <a:spLocks/>
        </xdr:cNvSpPr>
      </xdr:nvSpPr>
      <xdr:spPr>
        <a:xfrm>
          <a:off x="9229725" y="7772400"/>
          <a:ext cx="1476375"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304800</xdr:colOff>
      <xdr:row>45</xdr:row>
      <xdr:rowOff>104775</xdr:rowOff>
    </xdr:from>
    <xdr:to>
      <xdr:col>13</xdr:col>
      <xdr:colOff>161925</xdr:colOff>
      <xdr:row>55</xdr:row>
      <xdr:rowOff>47625</xdr:rowOff>
    </xdr:to>
    <xdr:sp>
      <xdr:nvSpPr>
        <xdr:cNvPr id="5" name="Rectangle 6"/>
        <xdr:cNvSpPr>
          <a:spLocks/>
        </xdr:cNvSpPr>
      </xdr:nvSpPr>
      <xdr:spPr>
        <a:xfrm>
          <a:off x="8134350" y="7391400"/>
          <a:ext cx="1076325" cy="1562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571500</xdr:colOff>
      <xdr:row>46</xdr:row>
      <xdr:rowOff>0</xdr:rowOff>
    </xdr:from>
    <xdr:to>
      <xdr:col>15</xdr:col>
      <xdr:colOff>57150</xdr:colOff>
      <xdr:row>46</xdr:row>
      <xdr:rowOff>76200</xdr:rowOff>
    </xdr:to>
    <xdr:sp>
      <xdr:nvSpPr>
        <xdr:cNvPr id="6" name="Rectangle 8"/>
        <xdr:cNvSpPr>
          <a:spLocks/>
        </xdr:cNvSpPr>
      </xdr:nvSpPr>
      <xdr:spPr>
        <a:xfrm>
          <a:off x="9620250" y="7448550"/>
          <a:ext cx="70485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46</xdr:row>
      <xdr:rowOff>9525</xdr:rowOff>
    </xdr:from>
    <xdr:to>
      <xdr:col>15</xdr:col>
      <xdr:colOff>76200</xdr:colOff>
      <xdr:row>47</xdr:row>
      <xdr:rowOff>95250</xdr:rowOff>
    </xdr:to>
    <xdr:sp>
      <xdr:nvSpPr>
        <xdr:cNvPr id="7" name="Rectangle 9"/>
        <xdr:cNvSpPr>
          <a:spLocks/>
        </xdr:cNvSpPr>
      </xdr:nvSpPr>
      <xdr:spPr>
        <a:xfrm>
          <a:off x="10267950" y="7458075"/>
          <a:ext cx="762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438150</xdr:colOff>
      <xdr:row>50</xdr:row>
      <xdr:rowOff>0</xdr:rowOff>
    </xdr:from>
    <xdr:to>
      <xdr:col>14</xdr:col>
      <xdr:colOff>514350</xdr:colOff>
      <xdr:row>50</xdr:row>
      <xdr:rowOff>76200</xdr:rowOff>
    </xdr:to>
    <xdr:sp>
      <xdr:nvSpPr>
        <xdr:cNvPr id="8" name="Oval 11"/>
        <xdr:cNvSpPr>
          <a:spLocks/>
        </xdr:cNvSpPr>
      </xdr:nvSpPr>
      <xdr:spPr>
        <a:xfrm>
          <a:off x="10096500" y="809625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276225</xdr:colOff>
      <xdr:row>48</xdr:row>
      <xdr:rowOff>9525</xdr:rowOff>
    </xdr:from>
    <xdr:to>
      <xdr:col>15</xdr:col>
      <xdr:colOff>352425</xdr:colOff>
      <xdr:row>49</xdr:row>
      <xdr:rowOff>0</xdr:rowOff>
    </xdr:to>
    <xdr:sp>
      <xdr:nvSpPr>
        <xdr:cNvPr id="9" name="Rectangle 12"/>
        <xdr:cNvSpPr>
          <a:spLocks/>
        </xdr:cNvSpPr>
      </xdr:nvSpPr>
      <xdr:spPr>
        <a:xfrm>
          <a:off x="10544175" y="7781925"/>
          <a:ext cx="762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76200</xdr:colOff>
      <xdr:row>48</xdr:row>
      <xdr:rowOff>9525</xdr:rowOff>
    </xdr:from>
    <xdr:to>
      <xdr:col>14</xdr:col>
      <xdr:colOff>152400</xdr:colOff>
      <xdr:row>49</xdr:row>
      <xdr:rowOff>19050</xdr:rowOff>
    </xdr:to>
    <xdr:sp>
      <xdr:nvSpPr>
        <xdr:cNvPr id="10" name="Rectangle 13"/>
        <xdr:cNvSpPr>
          <a:spLocks/>
        </xdr:cNvSpPr>
      </xdr:nvSpPr>
      <xdr:spPr>
        <a:xfrm>
          <a:off x="9734550" y="7781925"/>
          <a:ext cx="762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600075</xdr:colOff>
      <xdr:row>57</xdr:row>
      <xdr:rowOff>9525</xdr:rowOff>
    </xdr:from>
    <xdr:to>
      <xdr:col>18</xdr:col>
      <xdr:colOff>209550</xdr:colOff>
      <xdr:row>64</xdr:row>
      <xdr:rowOff>19050</xdr:rowOff>
    </xdr:to>
    <xdr:sp>
      <xdr:nvSpPr>
        <xdr:cNvPr id="11" name="TextBox 15"/>
        <xdr:cNvSpPr txBox="1">
          <a:spLocks noChangeArrowheads="1"/>
        </xdr:cNvSpPr>
      </xdr:nvSpPr>
      <xdr:spPr>
        <a:xfrm>
          <a:off x="7210425" y="9239250"/>
          <a:ext cx="5095875" cy="1143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Hot end area is the area of the end of the dome
Cold end area is the area under the displacer  the hot area minus the pison area
Annular volume is the volume under the displacer
Heater area is the hot end area + the area uncovered by the displacer
The regen is the space beside the displacer as per normal.  I assumed it would be the average temp between the hot and cold temps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5"/>
  <sheetViews>
    <sheetView tabSelected="1" workbookViewId="0" topLeftCell="A1">
      <selection activeCell="B1" sqref="B1"/>
    </sheetView>
  </sheetViews>
  <sheetFormatPr defaultColWidth="9.140625" defaultRowHeight="12.75"/>
  <cols>
    <col min="1" max="1" width="18.28125" style="0" customWidth="1"/>
    <col min="3" max="3" width="16.8515625" style="0" customWidth="1"/>
  </cols>
  <sheetData>
    <row r="1" spans="1:4" ht="12.75">
      <c r="A1" t="s">
        <v>0</v>
      </c>
      <c r="D1" t="s">
        <v>42</v>
      </c>
    </row>
    <row r="2" spans="1:4" ht="12.75">
      <c r="A2" t="s">
        <v>1</v>
      </c>
      <c r="D2" t="s">
        <v>43</v>
      </c>
    </row>
    <row r="3" spans="1:4" ht="12.75">
      <c r="A3" t="s">
        <v>45</v>
      </c>
      <c r="D3" t="s">
        <v>44</v>
      </c>
    </row>
    <row r="4" spans="1:9" ht="12.75">
      <c r="A4" t="s">
        <v>2</v>
      </c>
      <c r="B4" s="2">
        <v>140</v>
      </c>
      <c r="C4" t="s">
        <v>18</v>
      </c>
      <c r="D4">
        <f>PI()*B4*B4/4</f>
        <v>15393.804002589986</v>
      </c>
      <c r="E4" t="s">
        <v>13</v>
      </c>
      <c r="F4" t="s">
        <v>17</v>
      </c>
      <c r="H4" s="5">
        <v>1</v>
      </c>
      <c r="I4" t="s">
        <v>15</v>
      </c>
    </row>
    <row r="5" spans="1:5" ht="12.75">
      <c r="A5" t="s">
        <v>3</v>
      </c>
      <c r="B5" s="3">
        <v>135</v>
      </c>
      <c r="C5" t="s">
        <v>19</v>
      </c>
      <c r="D5">
        <f>PI()*B5*B5/4</f>
        <v>14313.881527918495</v>
      </c>
      <c r="E5" t="s">
        <v>13</v>
      </c>
    </row>
    <row r="6" spans="1:2" ht="12.75">
      <c r="A6" t="s">
        <v>4</v>
      </c>
      <c r="B6" s="3">
        <v>70</v>
      </c>
    </row>
    <row r="7" spans="1:10" ht="12.75">
      <c r="A7" t="s">
        <v>11</v>
      </c>
      <c r="B7" s="3"/>
      <c r="C7" t="s">
        <v>21</v>
      </c>
      <c r="D7">
        <f>(D4-D5)*B6</f>
        <v>75594.57322700442</v>
      </c>
      <c r="E7" t="s">
        <v>14</v>
      </c>
      <c r="H7" t="s">
        <v>35</v>
      </c>
      <c r="J7">
        <f>(Heater_End_area+(Piston_stroke*PI()*B4))/(Piston_stroke*PI()*B11*B11/4)</f>
        <v>0.17142857142857146</v>
      </c>
    </row>
    <row r="8" spans="1:2" ht="12.75">
      <c r="A8" t="s">
        <v>5</v>
      </c>
      <c r="B8" s="3">
        <v>700</v>
      </c>
    </row>
    <row r="9" spans="1:11" ht="12.75">
      <c r="A9" t="s">
        <v>6</v>
      </c>
      <c r="B9" s="3">
        <v>372</v>
      </c>
      <c r="H9" t="s">
        <v>40</v>
      </c>
      <c r="J9">
        <f>Piston_End_area*(I24+I35)/200</f>
        <v>4.911312126851609</v>
      </c>
      <c r="K9" t="s">
        <v>41</v>
      </c>
    </row>
    <row r="10" spans="1:8" ht="12.75">
      <c r="A10" t="s">
        <v>7</v>
      </c>
      <c r="B10" s="3">
        <f>(B8+B9)/2</f>
        <v>536</v>
      </c>
      <c r="H10" t="s">
        <v>46</v>
      </c>
    </row>
    <row r="11" spans="1:5" ht="12.75">
      <c r="A11" t="s">
        <v>8</v>
      </c>
      <c r="B11" s="3">
        <v>70</v>
      </c>
      <c r="C11" t="s">
        <v>20</v>
      </c>
      <c r="D11">
        <f>PI()*B11*B11/4</f>
        <v>3848.4510006474966</v>
      </c>
      <c r="E11" t="s">
        <v>13</v>
      </c>
    </row>
    <row r="12" spans="1:4" ht="12.75">
      <c r="A12" t="s">
        <v>9</v>
      </c>
      <c r="B12" s="3">
        <v>70</v>
      </c>
      <c r="C12" t="s">
        <v>22</v>
      </c>
      <c r="D12">
        <f>Heater_End_area-D11</f>
        <v>11545.35300194249</v>
      </c>
    </row>
    <row r="13" spans="1:2" ht="12.75">
      <c r="A13" t="s">
        <v>10</v>
      </c>
      <c r="B13" s="4">
        <v>2</v>
      </c>
    </row>
    <row r="15" spans="1:9" ht="12.75">
      <c r="A15" t="s">
        <v>33</v>
      </c>
      <c r="C15" t="s">
        <v>12</v>
      </c>
      <c r="F15" t="s">
        <v>16</v>
      </c>
      <c r="G15">
        <f>(pressure*Heater_End_area*Port_width/Hot_temp)+(pressure*Regen_vol/annular_space_temp)+(pressure*((Piston_stroke-Port_width)*Cold_end_area)/cold_temp)</f>
        <v>2295.4578200159967</v>
      </c>
      <c r="I15" t="s">
        <v>23</v>
      </c>
    </row>
    <row r="17" spans="2:14" ht="12.75">
      <c r="B17" t="s">
        <v>24</v>
      </c>
      <c r="C17" s="1">
        <v>0</v>
      </c>
      <c r="D17" s="1">
        <v>0.1</v>
      </c>
      <c r="E17" s="1">
        <v>0.2</v>
      </c>
      <c r="F17" s="1">
        <v>0.3</v>
      </c>
      <c r="G17" s="1">
        <v>0.4</v>
      </c>
      <c r="H17" s="1">
        <v>0.5</v>
      </c>
      <c r="I17" s="1">
        <v>0.6</v>
      </c>
      <c r="J17" s="1">
        <v>0.7</v>
      </c>
      <c r="K17" s="1">
        <v>0.8</v>
      </c>
      <c r="L17" s="1">
        <v>0.9</v>
      </c>
      <c r="M17" s="1">
        <v>1</v>
      </c>
      <c r="N17" t="s">
        <v>25</v>
      </c>
    </row>
    <row r="18" spans="1:14" ht="12.75">
      <c r="A18" t="s">
        <v>39</v>
      </c>
      <c r="B18">
        <v>0</v>
      </c>
      <c r="C18">
        <f>((Piston_stroke-Port_width-Port_width))*C17+Port_width</f>
        <v>2</v>
      </c>
      <c r="D18">
        <f aca="true" t="shared" si="0" ref="D18:M18">((Piston_stroke-Port_width-Port_width))*D17+Port_width</f>
        <v>8.600000000000001</v>
      </c>
      <c r="E18">
        <f t="shared" si="0"/>
        <v>15.200000000000001</v>
      </c>
      <c r="F18">
        <f t="shared" si="0"/>
        <v>21.8</v>
      </c>
      <c r="G18">
        <f t="shared" si="0"/>
        <v>28.400000000000002</v>
      </c>
      <c r="H18">
        <f t="shared" si="0"/>
        <v>35</v>
      </c>
      <c r="I18">
        <f t="shared" si="0"/>
        <v>41.6</v>
      </c>
      <c r="J18">
        <f t="shared" si="0"/>
        <v>48.199999999999996</v>
      </c>
      <c r="K18">
        <f t="shared" si="0"/>
        <v>54.800000000000004</v>
      </c>
      <c r="L18">
        <f t="shared" si="0"/>
        <v>61.4</v>
      </c>
      <c r="M18">
        <f t="shared" si="0"/>
        <v>68</v>
      </c>
      <c r="N18">
        <f>Piston_stroke</f>
        <v>70</v>
      </c>
    </row>
    <row r="19" spans="1:13" ht="12.75">
      <c r="A19" t="s">
        <v>26</v>
      </c>
      <c r="C19">
        <f>(((Piston_stroke-Port_width-Port_width)*C17)*Heater_End_area)+(Port_width*Heater_End_area)</f>
        <v>30787.608005179973</v>
      </c>
      <c r="D19">
        <f aca="true" t="shared" si="1" ref="D19:M19">(((Piston_stroke-Port_width-Port_width)*D17)*Heater_End_area)+(Port_width*Heater_End_area)</f>
        <v>132386.7144222739</v>
      </c>
      <c r="E19">
        <f t="shared" si="1"/>
        <v>233985.8208393678</v>
      </c>
      <c r="F19">
        <f t="shared" si="1"/>
        <v>335584.9272564617</v>
      </c>
      <c r="G19">
        <f t="shared" si="1"/>
        <v>437184.03367355565</v>
      </c>
      <c r="H19">
        <f t="shared" si="1"/>
        <v>538783.1400906496</v>
      </c>
      <c r="I19">
        <f t="shared" si="1"/>
        <v>640382.2465077435</v>
      </c>
      <c r="J19">
        <f t="shared" si="1"/>
        <v>741981.3529248374</v>
      </c>
      <c r="K19">
        <f t="shared" si="1"/>
        <v>843580.4593419314</v>
      </c>
      <c r="L19">
        <f t="shared" si="1"/>
        <v>945179.5657590252</v>
      </c>
      <c r="M19">
        <f t="shared" si="1"/>
        <v>1046778.6721761192</v>
      </c>
    </row>
    <row r="20" spans="1:13" ht="12.75">
      <c r="A20" t="s">
        <v>27</v>
      </c>
      <c r="C20">
        <f>Regen_vol</f>
        <v>75594.57322700442</v>
      </c>
      <c r="D20">
        <f aca="true" t="shared" si="2" ref="D20:M20">Regen_vol</f>
        <v>75594.57322700442</v>
      </c>
      <c r="E20">
        <f t="shared" si="2"/>
        <v>75594.57322700442</v>
      </c>
      <c r="F20">
        <f t="shared" si="2"/>
        <v>75594.57322700442</v>
      </c>
      <c r="G20">
        <f t="shared" si="2"/>
        <v>75594.57322700442</v>
      </c>
      <c r="H20">
        <f t="shared" si="2"/>
        <v>75594.57322700442</v>
      </c>
      <c r="I20">
        <f t="shared" si="2"/>
        <v>75594.57322700442</v>
      </c>
      <c r="J20">
        <f t="shared" si="2"/>
        <v>75594.57322700442</v>
      </c>
      <c r="K20">
        <f t="shared" si="2"/>
        <v>75594.57322700442</v>
      </c>
      <c r="L20">
        <f t="shared" si="2"/>
        <v>75594.57322700442</v>
      </c>
      <c r="M20">
        <f t="shared" si="2"/>
        <v>75594.57322700442</v>
      </c>
    </row>
    <row r="21" spans="1:13" ht="12.75">
      <c r="A21" t="s">
        <v>28</v>
      </c>
      <c r="C21">
        <f>((Piston_stroke-Port_width-Port_width)*(100%-C17)+Port_width)*Cold_end_area</f>
        <v>785084.0041320893</v>
      </c>
      <c r="D21">
        <f aca="true" t="shared" si="3" ref="D21:M21">((Piston_stroke-Port_width-Port_width)*(100%-D17)+Port_width)*Cold_end_area</f>
        <v>708884.6743192689</v>
      </c>
      <c r="E21">
        <f t="shared" si="3"/>
        <v>632685.3445064485</v>
      </c>
      <c r="F21">
        <f t="shared" si="3"/>
        <v>556486.014693628</v>
      </c>
      <c r="G21">
        <f t="shared" si="3"/>
        <v>480286.68488080765</v>
      </c>
      <c r="H21">
        <f t="shared" si="3"/>
        <v>404087.35506798717</v>
      </c>
      <c r="I21">
        <f t="shared" si="3"/>
        <v>327888.02525516675</v>
      </c>
      <c r="J21">
        <f t="shared" si="3"/>
        <v>251688.69544234633</v>
      </c>
      <c r="K21">
        <f t="shared" si="3"/>
        <v>175489.36562952583</v>
      </c>
      <c r="L21">
        <f t="shared" si="3"/>
        <v>99290.0358167054</v>
      </c>
      <c r="M21">
        <f t="shared" si="3"/>
        <v>23090.70600388498</v>
      </c>
    </row>
    <row r="22" spans="1:2" ht="12.75">
      <c r="A22" t="s">
        <v>30</v>
      </c>
      <c r="B22" t="s">
        <v>31</v>
      </c>
    </row>
    <row r="23" spans="1:14" ht="12.75">
      <c r="A23" t="s">
        <v>29</v>
      </c>
      <c r="B23">
        <v>1</v>
      </c>
      <c r="C23">
        <f>K/((C19/Hot_temp)+(C20/annular_space_temp)+(C21/cold_temp))</f>
        <v>1</v>
      </c>
      <c r="D23">
        <f aca="true" t="shared" si="4" ref="D23:M23">K/((D19/Hot_temp)+(D20/annular_space_temp)+(D21/cold_temp))</f>
        <v>1.0267002097508295</v>
      </c>
      <c r="E23">
        <f t="shared" si="4"/>
        <v>1.054865335466669</v>
      </c>
      <c r="F23">
        <f t="shared" si="4"/>
        <v>1.0846193373657738</v>
      </c>
      <c r="G23">
        <f t="shared" si="4"/>
        <v>1.1161005675180886</v>
      </c>
      <c r="H23">
        <f t="shared" si="4"/>
        <v>1.1494639209078301</v>
      </c>
      <c r="I23">
        <f t="shared" si="4"/>
        <v>1.1848833841917992</v>
      </c>
      <c r="J23">
        <f t="shared" si="4"/>
        <v>1.2225550706626243</v>
      </c>
      <c r="K23">
        <f t="shared" si="4"/>
        <v>1.2627008531775803</v>
      </c>
      <c r="L23">
        <f t="shared" si="4"/>
        <v>1.3055727371700765</v>
      </c>
      <c r="M23">
        <f t="shared" si="4"/>
        <v>1.351458155819474</v>
      </c>
      <c r="N23">
        <f>pressure</f>
        <v>1</v>
      </c>
    </row>
    <row r="24" spans="3:10" ht="12.75">
      <c r="C24" t="s">
        <v>36</v>
      </c>
      <c r="D24">
        <f>AVERAGE(B23:N23)</f>
        <v>1.1353015055408266</v>
      </c>
      <c r="F24" t="s">
        <v>37</v>
      </c>
      <c r="I24">
        <f>D24-pressure</f>
        <v>0.13530150554082665</v>
      </c>
      <c r="J24" t="s">
        <v>38</v>
      </c>
    </row>
    <row r="26" spans="1:9" ht="12.75">
      <c r="A26" t="s">
        <v>32</v>
      </c>
      <c r="C26" t="s">
        <v>12</v>
      </c>
      <c r="F26" t="s">
        <v>16</v>
      </c>
      <c r="G26">
        <f>(pressure*Port_width*Cold_end_area/cold_temp)+(pressure*Regen_vol/annular_space_temp)++(pressure*(Piston_stroke-Port_width)*Heater_End_area/Hot_temp)</f>
        <v>1698.5045449846843</v>
      </c>
      <c r="I26" t="s">
        <v>34</v>
      </c>
    </row>
    <row r="28" spans="2:14" ht="12.75">
      <c r="B28" t="s">
        <v>24</v>
      </c>
      <c r="C28" s="1">
        <v>0</v>
      </c>
      <c r="D28" s="1">
        <v>0.1</v>
      </c>
      <c r="E28" s="1">
        <v>0.2</v>
      </c>
      <c r="F28" s="1">
        <v>0.3</v>
      </c>
      <c r="G28" s="1">
        <v>0.4</v>
      </c>
      <c r="H28" s="1">
        <v>0.5</v>
      </c>
      <c r="I28" s="1">
        <v>0.6</v>
      </c>
      <c r="J28" s="1">
        <v>0.7</v>
      </c>
      <c r="K28" s="1">
        <v>0.8</v>
      </c>
      <c r="L28" s="1">
        <v>0.9</v>
      </c>
      <c r="M28" s="1">
        <v>1</v>
      </c>
      <c r="N28" t="s">
        <v>25</v>
      </c>
    </row>
    <row r="30" spans="1:13" ht="12.75">
      <c r="A30" t="s">
        <v>26</v>
      </c>
      <c r="C30">
        <f>(((Piston_stroke-Port_width-Port_width)*C28)*Heater_End_area)+(Port_width*Heater_End_area)</f>
        <v>30787.608005179973</v>
      </c>
      <c r="D30">
        <f aca="true" t="shared" si="5" ref="D30:M30">(((Piston_stroke-Port_width-Port_width)*D28)*Heater_End_area)+(Port_width*Heater_End_area)</f>
        <v>132386.7144222739</v>
      </c>
      <c r="E30">
        <f t="shared" si="5"/>
        <v>233985.8208393678</v>
      </c>
      <c r="F30">
        <f t="shared" si="5"/>
        <v>335584.9272564617</v>
      </c>
      <c r="G30">
        <f t="shared" si="5"/>
        <v>437184.03367355565</v>
      </c>
      <c r="H30">
        <f t="shared" si="5"/>
        <v>538783.1400906496</v>
      </c>
      <c r="I30">
        <f t="shared" si="5"/>
        <v>640382.2465077435</v>
      </c>
      <c r="J30">
        <f t="shared" si="5"/>
        <v>741981.3529248374</v>
      </c>
      <c r="K30">
        <f t="shared" si="5"/>
        <v>843580.4593419314</v>
      </c>
      <c r="L30">
        <f t="shared" si="5"/>
        <v>945179.5657590252</v>
      </c>
      <c r="M30">
        <f t="shared" si="5"/>
        <v>1046778.6721761192</v>
      </c>
    </row>
    <row r="31" spans="1:13" ht="12.75">
      <c r="A31" t="s">
        <v>27</v>
      </c>
      <c r="C31">
        <f>Regen_vol</f>
        <v>75594.57322700442</v>
      </c>
      <c r="D31">
        <f aca="true" t="shared" si="6" ref="D31:M31">Regen_vol</f>
        <v>75594.57322700442</v>
      </c>
      <c r="E31">
        <f t="shared" si="6"/>
        <v>75594.57322700442</v>
      </c>
      <c r="F31">
        <f t="shared" si="6"/>
        <v>75594.57322700442</v>
      </c>
      <c r="G31">
        <f t="shared" si="6"/>
        <v>75594.57322700442</v>
      </c>
      <c r="H31">
        <f t="shared" si="6"/>
        <v>75594.57322700442</v>
      </c>
      <c r="I31">
        <f t="shared" si="6"/>
        <v>75594.57322700442</v>
      </c>
      <c r="J31">
        <f t="shared" si="6"/>
        <v>75594.57322700442</v>
      </c>
      <c r="K31">
        <f t="shared" si="6"/>
        <v>75594.57322700442</v>
      </c>
      <c r="L31">
        <f t="shared" si="6"/>
        <v>75594.57322700442</v>
      </c>
      <c r="M31">
        <f t="shared" si="6"/>
        <v>75594.57322700442</v>
      </c>
    </row>
    <row r="32" spans="1:13" ht="12.75">
      <c r="A32" t="s">
        <v>28</v>
      </c>
      <c r="C32">
        <f>((Piston_stroke-Port_width-Port_width)*(100%-C28)+Port_width)*Cold_end_area</f>
        <v>785084.0041320893</v>
      </c>
      <c r="D32">
        <f aca="true" t="shared" si="7" ref="D32:M32">((Piston_stroke-Port_width-Port_width)*(100%-D28)+Port_width)*Cold_end_area</f>
        <v>708884.6743192689</v>
      </c>
      <c r="E32">
        <f t="shared" si="7"/>
        <v>632685.3445064485</v>
      </c>
      <c r="F32">
        <f t="shared" si="7"/>
        <v>556486.014693628</v>
      </c>
      <c r="G32">
        <f t="shared" si="7"/>
        <v>480286.68488080765</v>
      </c>
      <c r="H32">
        <f t="shared" si="7"/>
        <v>404087.35506798717</v>
      </c>
      <c r="I32">
        <f t="shared" si="7"/>
        <v>327888.02525516675</v>
      </c>
      <c r="J32">
        <f t="shared" si="7"/>
        <v>251688.69544234633</v>
      </c>
      <c r="K32">
        <f t="shared" si="7"/>
        <v>175489.36562952583</v>
      </c>
      <c r="L32">
        <f t="shared" si="7"/>
        <v>99290.0358167054</v>
      </c>
      <c r="M32">
        <f t="shared" si="7"/>
        <v>23090.70600388498</v>
      </c>
    </row>
    <row r="33" ht="12.75">
      <c r="A33" t="s">
        <v>30</v>
      </c>
    </row>
    <row r="34" spans="1:14" ht="12.75">
      <c r="A34" t="s">
        <v>29</v>
      </c>
      <c r="B34">
        <v>1</v>
      </c>
      <c r="C34">
        <f aca="true" t="shared" si="8" ref="C34:L34">k_comp/((C30/Hot_temp)+(C31/annular_space_temp)+(C32/cold_temp))</f>
        <v>0.7399415184953595</v>
      </c>
      <c r="D34">
        <f t="shared" si="8"/>
        <v>0.7596981122425329</v>
      </c>
      <c r="E34">
        <f t="shared" si="8"/>
        <v>0.7805386581333239</v>
      </c>
      <c r="F34">
        <f t="shared" si="8"/>
        <v>0.8025548794798614</v>
      </c>
      <c r="G34">
        <f t="shared" si="8"/>
        <v>0.8258491487228671</v>
      </c>
      <c r="H34">
        <f t="shared" si="8"/>
        <v>0.8505360790921697</v>
      </c>
      <c r="I34">
        <f t="shared" si="8"/>
        <v>0.8767444105388004</v>
      </c>
      <c r="J34">
        <f t="shared" si="8"/>
        <v>0.9046192554303037</v>
      </c>
      <c r="K34">
        <f t="shared" si="8"/>
        <v>0.9343247867056048</v>
      </c>
      <c r="L34">
        <f t="shared" si="8"/>
        <v>0.9660474736477693</v>
      </c>
      <c r="M34">
        <f>k_comp/((M30/Hot_temp)+(M31/annular_space_temp)+(M32/cold_temp))</f>
        <v>0.9999999999999999</v>
      </c>
      <c r="N34">
        <v>1</v>
      </c>
    </row>
    <row r="35" spans="3:10" ht="12.75">
      <c r="C35" t="s">
        <v>36</v>
      </c>
      <c r="D35">
        <f>AVERAGE(B34:N34)</f>
        <v>0.8800657171145072</v>
      </c>
      <c r="F35" t="s">
        <v>37</v>
      </c>
      <c r="I35">
        <f>pressure-D35</f>
        <v>0.1199342828854928</v>
      </c>
      <c r="J35" t="s">
        <v>38</v>
      </c>
    </row>
  </sheetData>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Truscott</dc:creator>
  <cp:keywords/>
  <dc:description/>
  <cp:lastModifiedBy>Boak</cp:lastModifiedBy>
  <dcterms:created xsi:type="dcterms:W3CDTF">2000-11-06T07:21:25Z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