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\Desktop\"/>
    </mc:Choice>
  </mc:AlternateContent>
  <bookViews>
    <workbookView xWindow="0" yWindow="0" windowWidth="20400" windowHeight="7470" activeTab="3"/>
  </bookViews>
  <sheets>
    <sheet name="productividad" sheetId="4" r:id="rId1"/>
    <sheet name="costos_por_fase" sheetId="3" r:id="rId2"/>
    <sheet name="produccion" sheetId="1" r:id="rId3"/>
    <sheet name="ingreso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2" i="3" l="1"/>
  <c r="B16" i="2"/>
  <c r="A21" i="3"/>
  <c r="B13" i="2"/>
  <c r="B15" i="2" s="1"/>
  <c r="D20" i="2" s="1"/>
  <c r="D21" i="2" s="1"/>
  <c r="D1" i="2"/>
  <c r="A9" i="2"/>
  <c r="A8" i="2"/>
  <c r="A7" i="2"/>
  <c r="G9" i="2"/>
  <c r="E14" i="3" l="1"/>
  <c r="B14" i="3"/>
  <c r="C14" i="3"/>
  <c r="D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B4" i="3" l="1"/>
  <c r="C11" i="1" l="1"/>
  <c r="C10" i="1"/>
  <c r="B12" i="1"/>
  <c r="I5" i="4"/>
  <c r="I4" i="4"/>
  <c r="F13" i="4"/>
  <c r="I14" i="4" s="1"/>
  <c r="E10" i="4"/>
  <c r="F14" i="4" l="1"/>
  <c r="H20" i="4"/>
  <c r="I19" i="4" s="1"/>
  <c r="E8" i="4"/>
  <c r="G10" i="4" s="1"/>
  <c r="G14" i="4" l="1"/>
  <c r="I18" i="4"/>
  <c r="I15" i="4" s="1"/>
  <c r="C18" i="3"/>
  <c r="D18" i="3" s="1"/>
  <c r="E18" i="3" s="1"/>
  <c r="F18" i="3" s="1"/>
  <c r="G18" i="3" s="1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C4" i="3"/>
  <c r="C19" i="3" s="1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B7" i="4"/>
  <c r="C7" i="4"/>
  <c r="B12" i="4"/>
  <c r="C12" i="4"/>
  <c r="B17" i="4"/>
  <c r="C17" i="4"/>
  <c r="U19" i="3" l="1"/>
  <c r="S19" i="3"/>
  <c r="Q19" i="3"/>
  <c r="O19" i="3"/>
  <c r="M19" i="3"/>
  <c r="K19" i="3"/>
  <c r="I19" i="3"/>
  <c r="G19" i="3"/>
  <c r="E19" i="3"/>
  <c r="H19" i="3"/>
  <c r="J19" i="3"/>
  <c r="L19" i="3"/>
  <c r="N19" i="3"/>
  <c r="P19" i="3"/>
  <c r="R19" i="3"/>
  <c r="T19" i="3"/>
  <c r="F19" i="3"/>
  <c r="B19" i="3"/>
  <c r="D19" i="3"/>
  <c r="J15" i="4"/>
  <c r="I16" i="4"/>
  <c r="C18" i="4"/>
  <c r="C19" i="4" s="1"/>
  <c r="F15" i="4"/>
  <c r="B18" i="4"/>
  <c r="B19" i="4" s="1"/>
  <c r="B5" i="1" s="1"/>
  <c r="B6" i="1" s="1"/>
  <c r="C12" i="1"/>
  <c r="C2" i="2" s="1"/>
  <c r="C4" i="2" s="1"/>
  <c r="B2" i="2"/>
  <c r="B4" i="2" s="1"/>
  <c r="G15" i="4" l="1"/>
  <c r="F16" i="4"/>
</calcChain>
</file>

<file path=xl/sharedStrings.xml><?xml version="1.0" encoding="utf-8"?>
<sst xmlns="http://schemas.openxmlformats.org/spreadsheetml/2006/main" count="70" uniqueCount="57">
  <si>
    <t>CORTES PROGRAMADOS</t>
  </si>
  <si>
    <t>Primer corte:</t>
  </si>
  <si>
    <t>Árboles por hectáreas</t>
  </si>
  <si>
    <t>Cantidad de hectáreas</t>
  </si>
  <si>
    <t>Producción por árbol</t>
  </si>
  <si>
    <t>Segundo corte:</t>
  </si>
  <si>
    <t>PRODUCCIÓN TOTAL EN M3</t>
  </si>
  <si>
    <t>Producción total primer corte m3:</t>
  </si>
  <si>
    <t>Producción total segundo corte m3:</t>
  </si>
  <si>
    <t>Producción en m3:</t>
  </si>
  <si>
    <t>Precio U$/m3:</t>
  </si>
  <si>
    <t>Primer corte
2023</t>
  </si>
  <si>
    <t>Segundo corte
2026</t>
  </si>
  <si>
    <t>Ingresos estimados</t>
  </si>
  <si>
    <t>FASE/ACTIVIDAD</t>
  </si>
  <si>
    <t>Adquisición</t>
  </si>
  <si>
    <t>Germinación</t>
  </si>
  <si>
    <t>Vivero</t>
  </si>
  <si>
    <t>Fase inicial:</t>
  </si>
  <si>
    <t>Fase de trasplante</t>
  </si>
  <si>
    <t>Mantenimiento y comercialización</t>
  </si>
  <si>
    <t>Reforestación</t>
  </si>
  <si>
    <t>Costos específicos por fase:</t>
  </si>
  <si>
    <t>Costos generales de producción:</t>
  </si>
  <si>
    <t>ESPECIE</t>
  </si>
  <si>
    <t>AÑOS</t>
  </si>
  <si>
    <t>Caoba:</t>
  </si>
  <si>
    <t>Pochote:</t>
  </si>
  <si>
    <t>Pawlonia:</t>
  </si>
  <si>
    <t>Producción m3:</t>
  </si>
  <si>
    <t>Cantidad de árboles</t>
  </si>
  <si>
    <t>DAP (cm)</t>
  </si>
  <si>
    <t>Altura (m)</t>
  </si>
  <si>
    <t>PRODUCCIÓN TOTAL</t>
  </si>
  <si>
    <t>Remuneración personal administrativo</t>
  </si>
  <si>
    <t>Gastos operativos:</t>
  </si>
  <si>
    <t>Remuneración del personal de producción</t>
  </si>
  <si>
    <t>Gastos de marketing</t>
  </si>
  <si>
    <t>crecimiento</t>
  </si>
  <si>
    <t>DAP</t>
  </si>
  <si>
    <t>H</t>
  </si>
  <si>
    <t>TOTAL</t>
  </si>
  <si>
    <t>Pochote y caoba</t>
  </si>
  <si>
    <t>Pawlonia</t>
  </si>
  <si>
    <t>Total</t>
  </si>
  <si>
    <t>Caoba</t>
  </si>
  <si>
    <t>1 corte</t>
  </si>
  <si>
    <t>2 corte</t>
  </si>
  <si>
    <t>Promedio</t>
  </si>
  <si>
    <t>Costos anuales de producción</t>
  </si>
  <si>
    <t>Cifras en U$</t>
  </si>
  <si>
    <t>COSTOS TOTALES EN U$</t>
  </si>
  <si>
    <t>Cargos básicos</t>
  </si>
  <si>
    <t>Gastos en materiales y suministros</t>
  </si>
  <si>
    <t>º</t>
  </si>
  <si>
    <t>Inversion</t>
  </si>
  <si>
    <t>Ingreso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</si>
</sst>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164" formatCode="_(* #,##0.00_);_(* \(#,##0.00\);_(* &quot;-&quot;??_);_(@_)"/>
    <numFmt numFmtId="165" formatCode="0.000000"/>
    <numFmt numFmtId="166" formatCode="_(* #,##0.000000_);_(* \(#,##0.000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6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 indent="1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2" xfId="0" applyFont="1" applyBorder="1"/>
    <xf numFmtId="0" fontId="4" fillId="0" borderId="3" xfId="0" applyFont="1" applyBorder="1" applyAlignment="1">
      <alignment horizontal="left" inden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4" fillId="0" borderId="7" xfId="1" applyFont="1" applyBorder="1"/>
    <xf numFmtId="164" fontId="4" fillId="0" borderId="8" xfId="1" applyFont="1" applyBorder="1"/>
    <xf numFmtId="164" fontId="3" fillId="0" borderId="9" xfId="1" applyFont="1" applyBorder="1"/>
    <xf numFmtId="0" fontId="3" fillId="0" borderId="1" xfId="0" applyFont="1" applyBorder="1"/>
    <xf numFmtId="0" fontId="3" fillId="0" borderId="4" xfId="0" applyFont="1" applyBorder="1" applyAlignment="1">
      <alignment horizontal="left" indent="1"/>
    </xf>
    <xf numFmtId="164" fontId="3" fillId="0" borderId="1" xfId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 applyAlignment="1"/>
    <xf numFmtId="164" fontId="0" fillId="0" borderId="7" xfId="0" applyNumberFormat="1" applyBorder="1"/>
    <xf numFmtId="0" fontId="0" fillId="0" borderId="8" xfId="0" applyBorder="1" applyAlignment="1"/>
    <xf numFmtId="164" fontId="0" fillId="0" borderId="8" xfId="1" applyFont="1" applyBorder="1"/>
    <xf numFmtId="0" fontId="2" fillId="2" borderId="1" xfId="0" applyFont="1" applyFill="1" applyBorder="1"/>
    <xf numFmtId="164" fontId="2" fillId="2" borderId="1" xfId="1" applyFont="1" applyFill="1" applyBorder="1"/>
    <xf numFmtId="0" fontId="6" fillId="0" borderId="0" xfId="0" applyFont="1"/>
    <xf numFmtId="0" fontId="2" fillId="0" borderId="0" xfId="0" applyFont="1" applyAlignment="1">
      <alignment horizontal="left" indent="1"/>
    </xf>
    <xf numFmtId="4" fontId="0" fillId="0" borderId="0" xfId="0" applyNumberFormat="1"/>
    <xf numFmtId="4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 applyFill="1"/>
    <xf numFmtId="0" fontId="5" fillId="2" borderId="8" xfId="0" applyFont="1" applyFill="1" applyBorder="1" applyAlignment="1">
      <alignment horizontal="left"/>
    </xf>
    <xf numFmtId="0" fontId="4" fillId="0" borderId="8" xfId="0" applyFont="1" applyBorder="1" applyAlignment="1">
      <alignment horizontal="left" indent="1"/>
    </xf>
    <xf numFmtId="164" fontId="3" fillId="2" borderId="8" xfId="1" applyFont="1" applyFill="1" applyBorder="1" applyAlignment="1">
      <alignment horizontal="center"/>
    </xf>
    <xf numFmtId="164" fontId="3" fillId="2" borderId="8" xfId="1" applyFont="1" applyFill="1" applyBorder="1"/>
    <xf numFmtId="164" fontId="4" fillId="0" borderId="8" xfId="1" applyFont="1" applyFill="1" applyBorder="1"/>
    <xf numFmtId="0" fontId="3" fillId="2" borderId="1" xfId="0" applyFont="1" applyFill="1" applyBorder="1" applyAlignment="1">
      <alignment horizontal="left" indent="1"/>
    </xf>
    <xf numFmtId="164" fontId="3" fillId="2" borderId="1" xfId="1" applyFont="1" applyFill="1" applyBorder="1"/>
    <xf numFmtId="164" fontId="0" fillId="0" borderId="0" xfId="0" applyNumberFormat="1"/>
    <xf numFmtId="0" fontId="2" fillId="3" borderId="0" xfId="0" applyFont="1" applyFill="1"/>
    <xf numFmtId="4" fontId="2" fillId="3" borderId="0" xfId="0" applyNumberFormat="1" applyFont="1" applyFill="1"/>
    <xf numFmtId="10" fontId="0" fillId="0" borderId="0" xfId="2" applyNumberFormat="1" applyFont="1"/>
    <xf numFmtId="0" fontId="0" fillId="3" borderId="0" xfId="0" applyFill="1"/>
    <xf numFmtId="164" fontId="0" fillId="3" borderId="0" xfId="1" applyFont="1" applyFill="1"/>
    <xf numFmtId="164" fontId="0" fillId="3" borderId="0" xfId="0" applyNumberFormat="1" applyFill="1"/>
    <xf numFmtId="165" fontId="0" fillId="0" borderId="0" xfId="0" applyNumberFormat="1"/>
    <xf numFmtId="166" fontId="4" fillId="0" borderId="8" xfId="1" applyNumberFormat="1" applyFont="1" applyBorder="1"/>
    <xf numFmtId="0" fontId="7" fillId="0" borderId="8" xfId="0" applyFont="1" applyBorder="1" applyAlignment="1">
      <alignment horizontal="left" indent="1"/>
    </xf>
    <xf numFmtId="0" fontId="4" fillId="0" borderId="8" xfId="0" applyFont="1" applyBorder="1" applyAlignment="1">
      <alignment horizontal="left" indent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8" fontId="0" fillId="0" borderId="0" xfId="0" applyNumberFormat="1"/>
    <xf numFmtId="4" fontId="10" fillId="0" borderId="0" xfId="0" applyNumberFormat="1" applyFont="1"/>
    <xf numFmtId="8" fontId="2" fillId="0" borderId="0" xfId="0" applyNumberFormat="1" applyFont="1"/>
    <xf numFmtId="9" fontId="0" fillId="0" borderId="0" xfId="0" applyNumberForma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38101</xdr:colOff>
      <xdr:row>0</xdr:row>
      <xdr:rowOff>95251</xdr:rowOff>
    </xdr:from>
    <xdr:to>
      <xdr:col>10</xdr:col>
      <xdr:colOff>723900</xdr:colOff>
      <xdr:row>19</xdr:row>
      <xdr:rowOff>38100</xdr:rowOff>
    </xdr:to>
    <xdr:grpSp>
      <xdr:nvGrpSpPr>
        <xdr:cNvPr id="31" name="Grupo 30"/>
        <xdr:cNvGrpSpPr/>
      </xdr:nvGrpSpPr>
      <xdr:grpSpPr>
        <a:xfrm>
          <a:off x="5667376" y="95251"/>
          <a:ext cx="4495799" cy="3752849"/>
          <a:chOff x="5553076" y="95251"/>
          <a:chExt cx="4495799" cy="3752849"/>
        </a:xfrm>
      </xdr:grpSpPr>
      <xdr:cxnSp macro="">
        <xdr:nvCxnSpPr>
          <xdr:cNvPr id="3" name="Conector recto 2"/>
          <xdr:cNvCxnSpPr/>
        </xdr:nvCxnSpPr>
        <xdr:spPr>
          <a:xfrm>
            <a:off x="6343650" y="1200150"/>
            <a:ext cx="1044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Conector recto 3"/>
          <xdr:cNvCxnSpPr/>
        </xdr:nvCxnSpPr>
        <xdr:spPr>
          <a:xfrm>
            <a:off x="7429500" y="1200150"/>
            <a:ext cx="720000" cy="0"/>
          </a:xfrm>
          <a:prstGeom prst="line">
            <a:avLst/>
          </a:prstGeom>
          <a:ln>
            <a:solidFill>
              <a:sysClr val="windowText" lastClr="000000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Conector recto 4"/>
          <xdr:cNvCxnSpPr/>
        </xdr:nvCxnSpPr>
        <xdr:spPr>
          <a:xfrm>
            <a:off x="8201025" y="1200150"/>
            <a:ext cx="1044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Conector recto 6"/>
          <xdr:cNvCxnSpPr/>
        </xdr:nvCxnSpPr>
        <xdr:spPr>
          <a:xfrm>
            <a:off x="6343650" y="1200150"/>
            <a:ext cx="0" cy="609600"/>
          </a:xfrm>
          <a:prstGeom prst="line">
            <a:avLst/>
          </a:prstGeom>
          <a:ln>
            <a:solidFill>
              <a:sysClr val="windowText" lastClr="000000"/>
            </a:solidFill>
            <a:headEnd type="none" w="med" len="med"/>
            <a:tailEnd type="triangl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ector recto de flecha 8"/>
          <xdr:cNvCxnSpPr/>
        </xdr:nvCxnSpPr>
        <xdr:spPr>
          <a:xfrm flipV="1">
            <a:off x="8220075" y="762000"/>
            <a:ext cx="0" cy="428625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ector recto de flecha 9"/>
          <xdr:cNvCxnSpPr/>
        </xdr:nvCxnSpPr>
        <xdr:spPr>
          <a:xfrm flipH="1" flipV="1">
            <a:off x="9239250" y="514350"/>
            <a:ext cx="0" cy="685801"/>
          </a:xfrm>
          <a:prstGeom prst="straightConnector1">
            <a:avLst/>
          </a:prstGeom>
          <a:ln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CuadroTexto 11"/>
          <xdr:cNvSpPr txBox="1"/>
        </xdr:nvSpPr>
        <xdr:spPr>
          <a:xfrm>
            <a:off x="6229351" y="1181101"/>
            <a:ext cx="6286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/>
              <a:t>2,011</a:t>
            </a:r>
          </a:p>
        </xdr:txBody>
      </xdr:sp>
      <xdr:sp macro="" textlink="">
        <xdr:nvSpPr>
          <xdr:cNvPr id="13" name="CuadroTexto 12"/>
          <xdr:cNvSpPr txBox="1"/>
        </xdr:nvSpPr>
        <xdr:spPr>
          <a:xfrm>
            <a:off x="6696076" y="1190626"/>
            <a:ext cx="6286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/>
              <a:t>2,012</a:t>
            </a:r>
          </a:p>
        </xdr:txBody>
      </xdr:sp>
      <xdr:cxnSp macro="">
        <xdr:nvCxnSpPr>
          <xdr:cNvPr id="15" name="Conector recto 14"/>
          <xdr:cNvCxnSpPr/>
        </xdr:nvCxnSpPr>
        <xdr:spPr>
          <a:xfrm>
            <a:off x="7067550" y="1123950"/>
            <a:ext cx="0" cy="720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Conector recto 18"/>
          <xdr:cNvCxnSpPr/>
        </xdr:nvCxnSpPr>
        <xdr:spPr>
          <a:xfrm>
            <a:off x="7381875" y="1123950"/>
            <a:ext cx="0" cy="7200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CuadroTexto 19"/>
          <xdr:cNvSpPr txBox="1"/>
        </xdr:nvSpPr>
        <xdr:spPr>
          <a:xfrm>
            <a:off x="7124701" y="1200151"/>
            <a:ext cx="6286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/>
              <a:t>2,013</a:t>
            </a:r>
          </a:p>
        </xdr:txBody>
      </xdr:sp>
      <xdr:sp macro="" textlink="">
        <xdr:nvSpPr>
          <xdr:cNvPr id="21" name="CuadroTexto 20"/>
          <xdr:cNvSpPr txBox="1"/>
        </xdr:nvSpPr>
        <xdr:spPr>
          <a:xfrm>
            <a:off x="7962901" y="1200151"/>
            <a:ext cx="6286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/>
              <a:t>2,023</a:t>
            </a:r>
          </a:p>
        </xdr:txBody>
      </xdr:sp>
      <xdr:sp macro="" textlink="">
        <xdr:nvSpPr>
          <xdr:cNvPr id="22" name="CuadroTexto 21"/>
          <xdr:cNvSpPr txBox="1"/>
        </xdr:nvSpPr>
        <xdr:spPr>
          <a:xfrm>
            <a:off x="8867776" y="1200151"/>
            <a:ext cx="6286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00"/>
              <a:t>2,030</a:t>
            </a:r>
          </a:p>
        </xdr:txBody>
      </xdr:sp>
      <xdr:sp macro="" textlink="">
        <xdr:nvSpPr>
          <xdr:cNvPr id="23" name="CuadroTexto 22"/>
          <xdr:cNvSpPr txBox="1"/>
        </xdr:nvSpPr>
        <xdr:spPr>
          <a:xfrm>
            <a:off x="5572126" y="1838326"/>
            <a:ext cx="1552574" cy="581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NI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U$ 343.714,17</a:t>
            </a: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Inversión</a:t>
            </a:r>
            <a:r>
              <a:rPr lang="es-NI" sz="10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total</a:t>
            </a:r>
          </a:p>
          <a:p>
            <a:pPr algn="ctr"/>
            <a:r>
              <a:rPr lang="es-NI" sz="10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2011</a:t>
            </a:r>
            <a:endParaRPr lang="es-ES" sz="1000"/>
          </a:p>
        </xdr:txBody>
      </xdr:sp>
      <xdr:sp macro="" textlink="">
        <xdr:nvSpPr>
          <xdr:cNvPr id="24" name="CuadroTexto 23"/>
          <xdr:cNvSpPr txBox="1"/>
        </xdr:nvSpPr>
        <xdr:spPr>
          <a:xfrm>
            <a:off x="7448551" y="352426"/>
            <a:ext cx="1552574" cy="438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NI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U$</a:t>
            </a:r>
            <a:r>
              <a:rPr lang="es-NI" sz="10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E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107.610,00 </a:t>
            </a:r>
            <a:endParaRPr lang="es-NI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Ingreso 1</a:t>
            </a:r>
            <a:endParaRPr lang="es-NI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5" name="CuadroTexto 24"/>
          <xdr:cNvSpPr txBox="1"/>
        </xdr:nvSpPr>
        <xdr:spPr>
          <a:xfrm>
            <a:off x="8496301" y="95251"/>
            <a:ext cx="1552574" cy="438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NI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U$</a:t>
            </a:r>
            <a:r>
              <a:rPr lang="es-NI" sz="10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E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722.500,00 </a:t>
            </a:r>
            <a:endParaRPr lang="es-NI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Ingreso 2</a:t>
            </a:r>
            <a:endParaRPr lang="es-NI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27" name="Forma libre: forma 26"/>
          <xdr:cNvSpPr/>
        </xdr:nvSpPr>
        <xdr:spPr>
          <a:xfrm>
            <a:off x="6991350" y="1504950"/>
            <a:ext cx="1247775" cy="1038225"/>
          </a:xfrm>
          <a:custGeom>
            <a:avLst/>
            <a:gdLst>
              <a:gd name="connsiteX0" fmla="*/ 1247775 w 1247775"/>
              <a:gd name="connsiteY0" fmla="*/ 0 h 1019175"/>
              <a:gd name="connsiteX1" fmla="*/ 1247775 w 1247775"/>
              <a:gd name="connsiteY1" fmla="*/ 1019175 h 1019175"/>
              <a:gd name="connsiteX2" fmla="*/ 0 w 1247775"/>
              <a:gd name="connsiteY2" fmla="*/ 1019175 h 1019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247775" h="1019175">
                <a:moveTo>
                  <a:pt x="1247775" y="0"/>
                </a:moveTo>
                <a:lnTo>
                  <a:pt x="1247775" y="1019175"/>
                </a:lnTo>
                <a:lnTo>
                  <a:pt x="0" y="1019175"/>
                </a:lnTo>
              </a:path>
            </a:pathLst>
          </a:custGeom>
          <a:noFill/>
          <a:ln>
            <a:solidFill>
              <a:sysClr val="windowText" lastClr="00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28" name="CuadroTexto 27"/>
          <xdr:cNvSpPr txBox="1"/>
        </xdr:nvSpPr>
        <xdr:spPr>
          <a:xfrm>
            <a:off x="5572126" y="2390776"/>
            <a:ext cx="1552574" cy="733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NI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U$ </a:t>
            </a:r>
            <a:r>
              <a:rPr lang="es-E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4.618,83</a:t>
            </a:r>
            <a:endParaRPr lang="es-NI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Ingreso 1</a:t>
            </a: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actualizado al 30% en 2011</a:t>
            </a:r>
            <a:endParaRPr lang="es-ES" sz="1000"/>
          </a:p>
        </xdr:txBody>
      </xdr:sp>
      <xdr:sp macro="" textlink="">
        <xdr:nvSpPr>
          <xdr:cNvPr id="29" name="Forma libre: forma 28"/>
          <xdr:cNvSpPr/>
        </xdr:nvSpPr>
        <xdr:spPr>
          <a:xfrm>
            <a:off x="6972300" y="1428750"/>
            <a:ext cx="2238375" cy="1838325"/>
          </a:xfrm>
          <a:custGeom>
            <a:avLst/>
            <a:gdLst>
              <a:gd name="connsiteX0" fmla="*/ 1247775 w 1247775"/>
              <a:gd name="connsiteY0" fmla="*/ 0 h 1019175"/>
              <a:gd name="connsiteX1" fmla="*/ 1247775 w 1247775"/>
              <a:gd name="connsiteY1" fmla="*/ 1019175 h 1019175"/>
              <a:gd name="connsiteX2" fmla="*/ 0 w 1247775"/>
              <a:gd name="connsiteY2" fmla="*/ 1019175 h 10191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247775" h="1019175">
                <a:moveTo>
                  <a:pt x="1247775" y="0"/>
                </a:moveTo>
                <a:lnTo>
                  <a:pt x="1247775" y="1019175"/>
                </a:lnTo>
                <a:lnTo>
                  <a:pt x="0" y="1019175"/>
                </a:lnTo>
              </a:path>
            </a:pathLst>
          </a:custGeom>
          <a:noFill/>
          <a:ln>
            <a:solidFill>
              <a:sysClr val="windowText" lastClr="000000"/>
            </a:solidFill>
            <a:headEnd type="none" w="med" len="med"/>
            <a:tailEnd type="triangle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30" name="CuadroTexto 29"/>
          <xdr:cNvSpPr txBox="1"/>
        </xdr:nvSpPr>
        <xdr:spPr>
          <a:xfrm>
            <a:off x="5553076" y="3114676"/>
            <a:ext cx="1552574" cy="733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NI" sz="10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U$ </a:t>
            </a:r>
            <a:r>
              <a:rPr lang="es-E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4.942,13</a:t>
            </a:r>
            <a:r>
              <a:rPr lang="es-E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endParaRPr lang="es-NI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Ingreso 2</a:t>
            </a:r>
          </a:p>
          <a:p>
            <a:pPr algn="ctr"/>
            <a:r>
              <a:rPr lang="es-NI" sz="10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actualizado al 30% en 2011</a:t>
            </a:r>
            <a:endParaRPr lang="es-ES" sz="10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0" sqref="G10"/>
    </sheetView>
  </sheetViews>
  <sheetFormatPr baseColWidth="10" defaultRowHeight="15" x14ac:dyDescent="0.25"/>
  <cols>
    <col min="1" max="1" width="24.85546875" customWidth="1"/>
  </cols>
  <sheetData>
    <row r="1" spans="1:10" x14ac:dyDescent="0.25">
      <c r="A1" s="47" t="s">
        <v>24</v>
      </c>
      <c r="B1" s="48" t="s">
        <v>25</v>
      </c>
      <c r="C1" s="48"/>
    </row>
    <row r="2" spans="1:10" x14ac:dyDescent="0.25">
      <c r="A2" s="47"/>
      <c r="B2" s="27">
        <v>23</v>
      </c>
      <c r="C2" s="27">
        <v>30</v>
      </c>
      <c r="F2" t="s">
        <v>38</v>
      </c>
    </row>
    <row r="3" spans="1:10" x14ac:dyDescent="0.25">
      <c r="A3" s="23" t="s">
        <v>26</v>
      </c>
      <c r="F3">
        <v>1.4</v>
      </c>
      <c r="G3" t="s">
        <v>39</v>
      </c>
      <c r="H3">
        <v>2011</v>
      </c>
    </row>
    <row r="4" spans="1:10" x14ac:dyDescent="0.25">
      <c r="A4" s="1" t="s">
        <v>31</v>
      </c>
      <c r="B4" s="25">
        <v>16.8</v>
      </c>
      <c r="C4" s="25">
        <v>26.6</v>
      </c>
      <c r="F4">
        <v>0.4</v>
      </c>
      <c r="G4" t="s">
        <v>40</v>
      </c>
      <c r="H4">
        <v>2023</v>
      </c>
      <c r="I4">
        <f>H4-H3</f>
        <v>12</v>
      </c>
    </row>
    <row r="5" spans="1:10" x14ac:dyDescent="0.25">
      <c r="A5" s="1" t="s">
        <v>32</v>
      </c>
      <c r="B5" s="25">
        <v>4.8</v>
      </c>
      <c r="C5" s="25">
        <v>7.6</v>
      </c>
      <c r="H5">
        <v>2030</v>
      </c>
      <c r="I5">
        <f>H5-H4</f>
        <v>7</v>
      </c>
    </row>
    <row r="6" spans="1:10" x14ac:dyDescent="0.25">
      <c r="A6" s="1" t="s">
        <v>30</v>
      </c>
      <c r="B6" s="25">
        <v>1411</v>
      </c>
      <c r="C6" s="25">
        <v>2117</v>
      </c>
      <c r="E6">
        <v>161</v>
      </c>
      <c r="F6">
        <v>612</v>
      </c>
    </row>
    <row r="7" spans="1:10" x14ac:dyDescent="0.25">
      <c r="A7" s="24" t="s">
        <v>29</v>
      </c>
      <c r="B7" s="26">
        <f>ROUND(POWER(B4/100, 2)*0.75*0.7854*B5*B6, 0)</f>
        <v>113</v>
      </c>
      <c r="C7" s="26">
        <f>ROUND(POWER(C4/100, 2)*0.75*0.7854*C5*C6, 0)</f>
        <v>671</v>
      </c>
      <c r="F7">
        <v>400</v>
      </c>
    </row>
    <row r="8" spans="1:10" x14ac:dyDescent="0.25">
      <c r="A8" s="23" t="s">
        <v>27</v>
      </c>
      <c r="B8" s="25"/>
      <c r="C8" s="25"/>
      <c r="E8">
        <f>E6*40%</f>
        <v>64.400000000000006</v>
      </c>
      <c r="F8">
        <v>100</v>
      </c>
      <c r="G8">
        <v>200</v>
      </c>
      <c r="H8">
        <v>100</v>
      </c>
    </row>
    <row r="9" spans="1:10" x14ac:dyDescent="0.25">
      <c r="A9" s="1" t="s">
        <v>31</v>
      </c>
      <c r="B9" s="25">
        <v>11.5</v>
      </c>
      <c r="C9" s="25">
        <v>10.5</v>
      </c>
    </row>
    <row r="10" spans="1:10" x14ac:dyDescent="0.25">
      <c r="A10" s="1" t="s">
        <v>32</v>
      </c>
      <c r="B10" s="25">
        <v>3</v>
      </c>
      <c r="C10" s="25">
        <v>3</v>
      </c>
      <c r="E10">
        <f>64*94</f>
        <v>6016</v>
      </c>
      <c r="G10">
        <f>E6-E8</f>
        <v>96.6</v>
      </c>
    </row>
    <row r="11" spans="1:10" x14ac:dyDescent="0.25">
      <c r="A11" s="1" t="s">
        <v>30</v>
      </c>
      <c r="B11" s="25">
        <v>1412</v>
      </c>
      <c r="C11" s="25">
        <v>2117</v>
      </c>
    </row>
    <row r="12" spans="1:10" x14ac:dyDescent="0.25">
      <c r="A12" s="24" t="s">
        <v>29</v>
      </c>
      <c r="B12" s="26">
        <f>ROUND(POWER(B9/100, 2)*0.75*0.7854*B10*B11, 0)</f>
        <v>33</v>
      </c>
      <c r="C12" s="26">
        <f>ROUND(POWER(C9/100, 2)*0.75*0.7854*C10*C11, 0)</f>
        <v>41</v>
      </c>
    </row>
    <row r="13" spans="1:10" x14ac:dyDescent="0.25">
      <c r="A13" s="23" t="s">
        <v>28</v>
      </c>
      <c r="B13" s="25"/>
      <c r="C13" s="25"/>
      <c r="E13" s="40" t="s">
        <v>41</v>
      </c>
      <c r="F13" s="41">
        <f>161*94</f>
        <v>15134</v>
      </c>
    </row>
    <row r="14" spans="1:10" x14ac:dyDescent="0.25">
      <c r="A14" s="1" t="s">
        <v>31</v>
      </c>
      <c r="B14" s="25">
        <v>16</v>
      </c>
      <c r="C14" s="25">
        <v>27</v>
      </c>
      <c r="E14" s="40" t="s">
        <v>46</v>
      </c>
      <c r="F14" s="42">
        <f>F13*40%</f>
        <v>6053.6</v>
      </c>
      <c r="G14" s="36">
        <f>F14/94</f>
        <v>64.400000000000006</v>
      </c>
      <c r="H14" t="s">
        <v>47</v>
      </c>
      <c r="I14" s="36">
        <f>F13*60%</f>
        <v>9080.4</v>
      </c>
    </row>
    <row r="15" spans="1:10" x14ac:dyDescent="0.25">
      <c r="A15" s="1" t="s">
        <v>32</v>
      </c>
      <c r="B15" s="25">
        <v>10</v>
      </c>
      <c r="C15" s="25">
        <v>17</v>
      </c>
      <c r="E15" t="s">
        <v>45</v>
      </c>
      <c r="F15" s="36">
        <f>F14*I18</f>
        <v>2822.3909027616619</v>
      </c>
      <c r="G15" s="36">
        <f>F15/2</f>
        <v>1411.1954513808309</v>
      </c>
      <c r="I15" s="36">
        <f>I14*I18</f>
        <v>4233.5863541424924</v>
      </c>
      <c r="J15" s="36">
        <f>I15/2</f>
        <v>2116.7931770712462</v>
      </c>
    </row>
    <row r="16" spans="1:10" x14ac:dyDescent="0.25">
      <c r="A16" s="1" t="s">
        <v>30</v>
      </c>
      <c r="B16" s="25">
        <v>3231</v>
      </c>
      <c r="C16" s="25">
        <v>4846</v>
      </c>
      <c r="E16" t="s">
        <v>43</v>
      </c>
      <c r="F16" s="36">
        <f>F14-F15</f>
        <v>3231.2090972383385</v>
      </c>
      <c r="I16" s="36">
        <f>I14-I15</f>
        <v>4846.8136458575073</v>
      </c>
    </row>
    <row r="17" spans="1:9" x14ac:dyDescent="0.25">
      <c r="A17" s="24" t="s">
        <v>29</v>
      </c>
      <c r="B17" s="26">
        <f>ROUND(POWER(B14/100, 2)*0.75*0.7854*B15*B16, 0)</f>
        <v>487</v>
      </c>
      <c r="C17" s="26">
        <f>ROUND(POWER(C14/100, 2)*0.75*0.7854*C15*C16, 0)</f>
        <v>3538</v>
      </c>
    </row>
    <row r="18" spans="1:9" x14ac:dyDescent="0.25">
      <c r="A18" s="24" t="s">
        <v>33</v>
      </c>
      <c r="B18" s="26">
        <f>B7+B12+B17</f>
        <v>633</v>
      </c>
      <c r="C18" s="26">
        <f t="shared" ref="C18" si="0">C7+C12+C17</f>
        <v>4250</v>
      </c>
      <c r="F18" t="s">
        <v>42</v>
      </c>
      <c r="H18" s="25">
        <v>8036</v>
      </c>
      <c r="I18" s="39">
        <f>H18/$H$20</f>
        <v>0.4662334648410304</v>
      </c>
    </row>
    <row r="19" spans="1:9" x14ac:dyDescent="0.25">
      <c r="A19" s="1" t="s">
        <v>48</v>
      </c>
      <c r="B19" s="43">
        <f>B18/(B6+B11+B16)</f>
        <v>0.1045589692765114</v>
      </c>
      <c r="C19" s="43">
        <f>C18/(C6+C11+C16)</f>
        <v>0.46806167400881055</v>
      </c>
      <c r="F19" t="s">
        <v>43</v>
      </c>
      <c r="H19" s="25">
        <v>9200</v>
      </c>
      <c r="I19" s="39">
        <f>H19/$H$20</f>
        <v>0.53376653515896955</v>
      </c>
    </row>
    <row r="20" spans="1:9" x14ac:dyDescent="0.25">
      <c r="F20" s="37" t="s">
        <v>44</v>
      </c>
      <c r="G20" s="37"/>
      <c r="H20" s="38">
        <f>SUM(H18:H19)</f>
        <v>17236</v>
      </c>
    </row>
  </sheetData>
  <mergeCells count="2">
    <mergeCell ref="A1:A2"/>
    <mergeCell ref="B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topLeftCell="A7" workbookViewId="0">
      <selection activeCell="A22" sqref="A22"/>
    </sheetView>
  </sheetViews>
  <sheetFormatPr baseColWidth="10" defaultRowHeight="15" x14ac:dyDescent="0.25"/>
  <cols>
    <col min="1" max="1" width="36.140625" bestFit="1" customWidth="1"/>
    <col min="2" max="2" width="10.7109375" customWidth="1"/>
    <col min="3" max="5" width="10" bestFit="1" customWidth="1"/>
    <col min="6" max="6" width="10.7109375" customWidth="1"/>
    <col min="7" max="15" width="10" bestFit="1" customWidth="1"/>
    <col min="16" max="21" width="10.7109375" customWidth="1"/>
  </cols>
  <sheetData>
    <row r="1" spans="1:21" ht="21" x14ac:dyDescent="0.35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15.75" x14ac:dyDescent="0.25">
      <c r="A2" s="50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x14ac:dyDescent="0.25">
      <c r="A3" s="3" t="s">
        <v>14</v>
      </c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  <c r="M3" s="3">
        <v>2022</v>
      </c>
      <c r="N3" s="3">
        <v>2023</v>
      </c>
      <c r="O3" s="3">
        <v>2024</v>
      </c>
      <c r="P3" s="3">
        <v>2025</v>
      </c>
      <c r="Q3" s="3">
        <v>2026</v>
      </c>
      <c r="R3" s="3">
        <v>2027</v>
      </c>
      <c r="S3" s="3">
        <v>2028</v>
      </c>
      <c r="T3" s="3">
        <v>2029</v>
      </c>
      <c r="U3" s="3">
        <v>2030</v>
      </c>
    </row>
    <row r="4" spans="1:21" x14ac:dyDescent="0.25">
      <c r="A4" s="29" t="s">
        <v>22</v>
      </c>
      <c r="B4" s="31">
        <f>SUM(B5:B11)</f>
        <v>52230.71</v>
      </c>
      <c r="C4" s="31">
        <f t="shared" ref="C4:U4" si="0">SUM(C5:C11)</f>
        <v>6822.95</v>
      </c>
      <c r="D4" s="31">
        <f t="shared" si="0"/>
        <v>0</v>
      </c>
      <c r="E4" s="32">
        <f t="shared" si="0"/>
        <v>0</v>
      </c>
      <c r="F4" s="32">
        <f t="shared" si="0"/>
        <v>33816</v>
      </c>
      <c r="G4" s="32">
        <f t="shared" si="0"/>
        <v>0</v>
      </c>
      <c r="H4" s="32">
        <f t="shared" si="0"/>
        <v>0</v>
      </c>
      <c r="I4" s="32">
        <f t="shared" si="0"/>
        <v>0</v>
      </c>
      <c r="J4" s="32">
        <f t="shared" si="0"/>
        <v>0</v>
      </c>
      <c r="K4" s="32">
        <f t="shared" si="0"/>
        <v>0</v>
      </c>
      <c r="L4" s="32">
        <f t="shared" si="0"/>
        <v>0</v>
      </c>
      <c r="M4" s="32">
        <f t="shared" si="0"/>
        <v>0</v>
      </c>
      <c r="N4" s="32">
        <f t="shared" si="0"/>
        <v>0</v>
      </c>
      <c r="O4" s="32">
        <f t="shared" si="0"/>
        <v>0</v>
      </c>
      <c r="P4" s="32">
        <f t="shared" si="0"/>
        <v>0</v>
      </c>
      <c r="Q4" s="32">
        <f t="shared" si="0"/>
        <v>0</v>
      </c>
      <c r="R4" s="32">
        <f t="shared" si="0"/>
        <v>0</v>
      </c>
      <c r="S4" s="32">
        <f t="shared" si="0"/>
        <v>0</v>
      </c>
      <c r="T4" s="32">
        <f t="shared" si="0"/>
        <v>0</v>
      </c>
      <c r="U4" s="32">
        <f t="shared" si="0"/>
        <v>0</v>
      </c>
    </row>
    <row r="5" spans="1:21" x14ac:dyDescent="0.25">
      <c r="A5" s="45" t="s">
        <v>18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5">
      <c r="A6" s="46" t="s">
        <v>15</v>
      </c>
      <c r="B6" s="33">
        <v>45680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25">
      <c r="A7" s="46" t="s">
        <v>16</v>
      </c>
      <c r="B7" s="9">
        <v>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x14ac:dyDescent="0.25">
      <c r="A8" s="46" t="s">
        <v>17</v>
      </c>
      <c r="B8" s="33">
        <v>4355.33</v>
      </c>
      <c r="C8" s="3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A9" s="45" t="s">
        <v>19</v>
      </c>
      <c r="B9" s="33">
        <v>2195.38</v>
      </c>
      <c r="C9" s="3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x14ac:dyDescent="0.25">
      <c r="A10" s="45" t="s">
        <v>20</v>
      </c>
      <c r="B10" s="33"/>
      <c r="C10" s="3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A11" s="46" t="s">
        <v>21</v>
      </c>
      <c r="B11" s="33"/>
      <c r="C11" s="33">
        <v>6822.95</v>
      </c>
      <c r="D11" s="9"/>
      <c r="E11" s="9"/>
      <c r="F11" s="9">
        <v>33816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s="28" customFormat="1" x14ac:dyDescent="0.25">
      <c r="A12" s="29" t="s">
        <v>23</v>
      </c>
      <c r="B12" s="32">
        <f t="shared" ref="B12:U12" si="1">SUM(B13)</f>
        <v>16703.32</v>
      </c>
      <c r="C12" s="32">
        <f t="shared" si="1"/>
        <v>17338.759999999998</v>
      </c>
      <c r="D12" s="32">
        <f t="shared" si="1"/>
        <v>18000.18</v>
      </c>
      <c r="E12" s="32">
        <f t="shared" si="1"/>
        <v>18453.63</v>
      </c>
      <c r="F12" s="32">
        <f t="shared" si="1"/>
        <v>19292.240000000002</v>
      </c>
      <c r="G12" s="32">
        <f t="shared" si="1"/>
        <v>20097.62</v>
      </c>
      <c r="H12" s="32">
        <f t="shared" si="1"/>
        <v>20124.21</v>
      </c>
      <c r="I12" s="32">
        <f t="shared" si="1"/>
        <v>20890.87</v>
      </c>
      <c r="J12" s="32">
        <f t="shared" si="1"/>
        <v>21686.68</v>
      </c>
      <c r="K12" s="32">
        <f t="shared" si="1"/>
        <v>22512.87</v>
      </c>
      <c r="L12" s="32">
        <f t="shared" si="1"/>
        <v>23370.49</v>
      </c>
      <c r="M12" s="32">
        <f t="shared" si="1"/>
        <v>24260.81</v>
      </c>
      <c r="N12" s="32">
        <f t="shared" si="1"/>
        <v>25185.01</v>
      </c>
      <c r="O12" s="32">
        <f t="shared" si="1"/>
        <v>26144.46</v>
      </c>
      <c r="P12" s="32">
        <f t="shared" si="1"/>
        <v>27140.45</v>
      </c>
      <c r="Q12" s="32">
        <f t="shared" si="1"/>
        <v>28174.39</v>
      </c>
      <c r="R12" s="32">
        <f t="shared" si="1"/>
        <v>29247.71</v>
      </c>
      <c r="S12" s="32">
        <f t="shared" si="1"/>
        <v>30361.89</v>
      </c>
      <c r="T12" s="32">
        <f t="shared" si="1"/>
        <v>31518.55</v>
      </c>
      <c r="U12" s="32">
        <f t="shared" si="1"/>
        <v>32719.279999999999</v>
      </c>
    </row>
    <row r="13" spans="1:21" s="28" customFormat="1" x14ac:dyDescent="0.25">
      <c r="A13" s="30" t="s">
        <v>36</v>
      </c>
      <c r="B13" s="9">
        <v>16703.32</v>
      </c>
      <c r="C13" s="9">
        <v>17338.759999999998</v>
      </c>
      <c r="D13" s="9">
        <v>18000.18</v>
      </c>
      <c r="E13" s="9">
        <v>18453.63</v>
      </c>
      <c r="F13" s="9">
        <v>19292.240000000002</v>
      </c>
      <c r="G13" s="9">
        <v>20097.62</v>
      </c>
      <c r="H13" s="9">
        <v>20124.21</v>
      </c>
      <c r="I13" s="9">
        <v>20890.87</v>
      </c>
      <c r="J13" s="9">
        <v>21686.68</v>
      </c>
      <c r="K13" s="9">
        <v>22512.87</v>
      </c>
      <c r="L13" s="9">
        <v>23370.49</v>
      </c>
      <c r="M13" s="9">
        <v>24260.81</v>
      </c>
      <c r="N13" s="9">
        <v>25185.01</v>
      </c>
      <c r="O13" s="9">
        <v>26144.46</v>
      </c>
      <c r="P13" s="9">
        <v>27140.45</v>
      </c>
      <c r="Q13" s="9">
        <v>28174.39</v>
      </c>
      <c r="R13" s="9">
        <v>29247.71</v>
      </c>
      <c r="S13" s="9">
        <v>30361.89</v>
      </c>
      <c r="T13" s="9">
        <v>31518.55</v>
      </c>
      <c r="U13" s="9">
        <v>32719.279999999999</v>
      </c>
    </row>
    <row r="14" spans="1:21" s="28" customFormat="1" x14ac:dyDescent="0.25">
      <c r="A14" s="29" t="s">
        <v>35</v>
      </c>
      <c r="B14" s="32">
        <f t="shared" ref="B14:U14" si="2">SUM(B15:B18)</f>
        <v>68384.614000000001</v>
      </c>
      <c r="C14" s="32">
        <f t="shared" si="2"/>
        <v>68384.043999999994</v>
      </c>
      <c r="D14" s="32">
        <f t="shared" si="2"/>
        <v>68384.614000000001</v>
      </c>
      <c r="E14" s="32">
        <f>SUM(E15:E18)</f>
        <v>68384.633999999991</v>
      </c>
      <c r="F14" s="32">
        <f t="shared" si="2"/>
        <v>68384.603999999992</v>
      </c>
      <c r="G14" s="32">
        <f t="shared" si="2"/>
        <v>68384.623999999996</v>
      </c>
      <c r="H14" s="32">
        <f t="shared" si="2"/>
        <v>68817.784</v>
      </c>
      <c r="I14" s="32">
        <f t="shared" si="2"/>
        <v>69267.464000000007</v>
      </c>
      <c r="J14" s="32">
        <f t="shared" si="2"/>
        <v>69734.244000000006</v>
      </c>
      <c r="K14" s="32">
        <f t="shared" si="2"/>
        <v>70218.843999999997</v>
      </c>
      <c r="L14" s="32">
        <f t="shared" si="2"/>
        <v>70721.873999999996</v>
      </c>
      <c r="M14" s="32">
        <f t="shared" si="2"/>
        <v>71244.084000000003</v>
      </c>
      <c r="N14" s="32">
        <f t="shared" si="2"/>
        <v>71786.164000000004</v>
      </c>
      <c r="O14" s="32">
        <f t="shared" si="2"/>
        <v>72348.934000000008</v>
      </c>
      <c r="P14" s="32">
        <f t="shared" si="2"/>
        <v>72933.123999999996</v>
      </c>
      <c r="Q14" s="32">
        <f t="shared" si="2"/>
        <v>73539.573999999993</v>
      </c>
      <c r="R14" s="32">
        <f t="shared" si="2"/>
        <v>74169.123999999996</v>
      </c>
      <c r="S14" s="32">
        <f t="shared" si="2"/>
        <v>74822.634000000005</v>
      </c>
      <c r="T14" s="32">
        <f t="shared" si="2"/>
        <v>75501.073999999993</v>
      </c>
      <c r="U14" s="32">
        <f t="shared" si="2"/>
        <v>76205.343999999997</v>
      </c>
    </row>
    <row r="15" spans="1:21" x14ac:dyDescent="0.25">
      <c r="A15" s="30" t="s">
        <v>34</v>
      </c>
      <c r="B15" s="9">
        <v>11370.56</v>
      </c>
      <c r="C15" s="9">
        <v>11369.99</v>
      </c>
      <c r="D15" s="9">
        <v>11370.56</v>
      </c>
      <c r="E15" s="9">
        <v>11370.58</v>
      </c>
      <c r="F15" s="9">
        <v>11370.55</v>
      </c>
      <c r="G15" s="9">
        <v>11370.57</v>
      </c>
      <c r="H15" s="9">
        <v>11803.73</v>
      </c>
      <c r="I15" s="9">
        <v>12253.41</v>
      </c>
      <c r="J15" s="9">
        <v>12720.19</v>
      </c>
      <c r="K15" s="9">
        <v>13204.79</v>
      </c>
      <c r="L15" s="9">
        <v>13707.82</v>
      </c>
      <c r="M15" s="9">
        <v>14230.03</v>
      </c>
      <c r="N15" s="9">
        <v>14772.11</v>
      </c>
      <c r="O15" s="9">
        <v>15334.88</v>
      </c>
      <c r="P15" s="9">
        <v>15919.07</v>
      </c>
      <c r="Q15" s="9">
        <v>16525.52</v>
      </c>
      <c r="R15" s="9">
        <v>17155.07</v>
      </c>
      <c r="S15" s="9">
        <v>17808.580000000002</v>
      </c>
      <c r="T15" s="9">
        <v>18487.02</v>
      </c>
      <c r="U15" s="9">
        <v>19191.29</v>
      </c>
    </row>
    <row r="16" spans="1:21" x14ac:dyDescent="0.25">
      <c r="A16" s="30" t="s">
        <v>52</v>
      </c>
      <c r="B16" s="25">
        <v>11441.272000000001</v>
      </c>
      <c r="C16" s="9">
        <v>11441.272000000001</v>
      </c>
      <c r="D16" s="9">
        <v>11441.272000000001</v>
      </c>
      <c r="E16" s="9">
        <v>11441.272000000001</v>
      </c>
      <c r="F16" s="9">
        <v>11441.272000000001</v>
      </c>
      <c r="G16" s="9">
        <v>11441.272000000001</v>
      </c>
      <c r="H16" s="9">
        <v>11441.272000000001</v>
      </c>
      <c r="I16" s="9">
        <v>11441.272000000001</v>
      </c>
      <c r="J16" s="9">
        <v>11441.272000000001</v>
      </c>
      <c r="K16" s="9">
        <v>11441.272000000001</v>
      </c>
      <c r="L16" s="9">
        <v>11441.272000000001</v>
      </c>
      <c r="M16" s="9">
        <v>11441.272000000001</v>
      </c>
      <c r="N16" s="9">
        <v>11441.272000000001</v>
      </c>
      <c r="O16" s="9">
        <v>11441.272000000001</v>
      </c>
      <c r="P16" s="9">
        <v>11441.272000000001</v>
      </c>
      <c r="Q16" s="9">
        <v>11441.272000000001</v>
      </c>
      <c r="R16" s="9">
        <v>11441.272000000001</v>
      </c>
      <c r="S16" s="9">
        <v>11441.272000000001</v>
      </c>
      <c r="T16" s="9">
        <v>11441.272000000001</v>
      </c>
      <c r="U16" s="9">
        <v>11441.272000000001</v>
      </c>
    </row>
    <row r="17" spans="1:21" x14ac:dyDescent="0.25">
      <c r="A17" s="30" t="s">
        <v>53</v>
      </c>
      <c r="B17" s="9">
        <v>10292.781999999999</v>
      </c>
      <c r="C17" s="9">
        <v>10292.781999999999</v>
      </c>
      <c r="D17" s="9">
        <v>10292.781999999999</v>
      </c>
      <c r="E17" s="9">
        <v>10292.781999999999</v>
      </c>
      <c r="F17" s="9">
        <v>10292.781999999999</v>
      </c>
      <c r="G17" s="9">
        <v>10292.781999999999</v>
      </c>
      <c r="H17" s="9">
        <v>10292.781999999999</v>
      </c>
      <c r="I17" s="9">
        <v>10292.781999999999</v>
      </c>
      <c r="J17" s="9">
        <v>10292.781999999999</v>
      </c>
      <c r="K17" s="9">
        <v>10292.781999999999</v>
      </c>
      <c r="L17" s="9">
        <v>10292.781999999999</v>
      </c>
      <c r="M17" s="9">
        <v>10292.781999999999</v>
      </c>
      <c r="N17" s="9">
        <v>10292.781999999999</v>
      </c>
      <c r="O17" s="9">
        <v>10292.781999999999</v>
      </c>
      <c r="P17" s="9">
        <v>10292.781999999999</v>
      </c>
      <c r="Q17" s="9">
        <v>10292.781999999999</v>
      </c>
      <c r="R17" s="9">
        <v>10292.781999999999</v>
      </c>
      <c r="S17" s="9">
        <v>10292.781999999999</v>
      </c>
      <c r="T17" s="9">
        <v>10292.781999999999</v>
      </c>
      <c r="U17" s="9">
        <v>10292.781999999999</v>
      </c>
    </row>
    <row r="18" spans="1:21" x14ac:dyDescent="0.25">
      <c r="A18" s="30" t="s">
        <v>37</v>
      </c>
      <c r="B18" s="33">
        <v>35280</v>
      </c>
      <c r="C18" s="33">
        <f t="shared" ref="C18:U18" si="3">B18</f>
        <v>35280</v>
      </c>
      <c r="D18" s="33">
        <f t="shared" si="3"/>
        <v>35280</v>
      </c>
      <c r="E18" s="33">
        <f t="shared" si="3"/>
        <v>35280</v>
      </c>
      <c r="F18" s="33">
        <f t="shared" si="3"/>
        <v>35280</v>
      </c>
      <c r="G18" s="33">
        <f t="shared" si="3"/>
        <v>35280</v>
      </c>
      <c r="H18" s="33">
        <f t="shared" si="3"/>
        <v>35280</v>
      </c>
      <c r="I18" s="33">
        <f t="shared" si="3"/>
        <v>35280</v>
      </c>
      <c r="J18" s="33">
        <f t="shared" si="3"/>
        <v>35280</v>
      </c>
      <c r="K18" s="33">
        <f t="shared" si="3"/>
        <v>35280</v>
      </c>
      <c r="L18" s="33">
        <f t="shared" si="3"/>
        <v>35280</v>
      </c>
      <c r="M18" s="33">
        <f t="shared" si="3"/>
        <v>35280</v>
      </c>
      <c r="N18" s="33">
        <f t="shared" si="3"/>
        <v>35280</v>
      </c>
      <c r="O18" s="33">
        <f t="shared" si="3"/>
        <v>35280</v>
      </c>
      <c r="P18" s="33">
        <f t="shared" si="3"/>
        <v>35280</v>
      </c>
      <c r="Q18" s="33">
        <f t="shared" si="3"/>
        <v>35280</v>
      </c>
      <c r="R18" s="33">
        <f t="shared" si="3"/>
        <v>35280</v>
      </c>
      <c r="S18" s="33">
        <f t="shared" si="3"/>
        <v>35280</v>
      </c>
      <c r="T18" s="33">
        <f t="shared" si="3"/>
        <v>35280</v>
      </c>
      <c r="U18" s="33">
        <f t="shared" si="3"/>
        <v>35280</v>
      </c>
    </row>
    <row r="19" spans="1:21" x14ac:dyDescent="0.25">
      <c r="A19" s="34" t="s">
        <v>51</v>
      </c>
      <c r="B19" s="35">
        <f t="shared" ref="B19:U19" si="4">B4+B12+B14</f>
        <v>137318.644</v>
      </c>
      <c r="C19" s="35">
        <f t="shared" si="4"/>
        <v>92545.753999999986</v>
      </c>
      <c r="D19" s="35">
        <f t="shared" si="4"/>
        <v>86384.793999999994</v>
      </c>
      <c r="E19" s="35">
        <f t="shared" si="4"/>
        <v>86838.263999999996</v>
      </c>
      <c r="F19" s="35">
        <f t="shared" si="4"/>
        <v>121492.844</v>
      </c>
      <c r="G19" s="35">
        <f t="shared" si="4"/>
        <v>88482.243999999992</v>
      </c>
      <c r="H19" s="35">
        <f t="shared" si="4"/>
        <v>88941.994000000006</v>
      </c>
      <c r="I19" s="35">
        <f t="shared" si="4"/>
        <v>90158.334000000003</v>
      </c>
      <c r="J19" s="35">
        <f t="shared" si="4"/>
        <v>91420.923999999999</v>
      </c>
      <c r="K19" s="35">
        <f t="shared" si="4"/>
        <v>92731.713999999993</v>
      </c>
      <c r="L19" s="35">
        <f t="shared" si="4"/>
        <v>94092.364000000001</v>
      </c>
      <c r="M19" s="35">
        <f t="shared" si="4"/>
        <v>95504.894</v>
      </c>
      <c r="N19" s="35">
        <f t="shared" si="4"/>
        <v>96971.173999999999</v>
      </c>
      <c r="O19" s="35">
        <f t="shared" si="4"/>
        <v>98493.394</v>
      </c>
      <c r="P19" s="35">
        <f t="shared" si="4"/>
        <v>100073.57399999999</v>
      </c>
      <c r="Q19" s="35">
        <f t="shared" si="4"/>
        <v>101713.96399999999</v>
      </c>
      <c r="R19" s="35">
        <f t="shared" si="4"/>
        <v>103416.834</v>
      </c>
      <c r="S19" s="35">
        <f t="shared" si="4"/>
        <v>105184.524</v>
      </c>
      <c r="T19" s="35">
        <f t="shared" si="4"/>
        <v>107019.624</v>
      </c>
      <c r="U19" s="35">
        <f t="shared" si="4"/>
        <v>108924.624</v>
      </c>
    </row>
    <row r="20" spans="1:21" x14ac:dyDescent="0.25">
      <c r="B20" s="36"/>
    </row>
    <row r="21" spans="1:21" x14ac:dyDescent="0.25">
      <c r="A21" s="51">
        <f>NPV(0%, B19:U19)</f>
        <v>1987710.4800000004</v>
      </c>
    </row>
    <row r="22" spans="1:21" x14ac:dyDescent="0.25">
      <c r="A22" s="36">
        <f>SUM(B19:U19)</f>
        <v>1987710.4800000004</v>
      </c>
    </row>
  </sheetData>
  <mergeCells count="2">
    <mergeCell ref="A1:U1"/>
    <mergeCell ref="A2:U2"/>
  </mergeCells>
  <printOptions horizontalCentered="1"/>
  <pageMargins left="0.23622047244094491" right="0.19685039370078741" top="0.55118110236220474" bottom="0.74803149606299213" header="0.31496062992125984" footer="0.31496062992125984"/>
  <pageSetup paperSize="5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D14" sqref="D14"/>
    </sheetView>
  </sheetViews>
  <sheetFormatPr baseColWidth="10" defaultRowHeight="12.75" x14ac:dyDescent="0.2"/>
  <cols>
    <col min="1" max="1" width="30.42578125" style="2" customWidth="1"/>
    <col min="2" max="3" width="14.7109375" style="2" customWidth="1"/>
    <col min="4" max="16384" width="11.42578125" style="2"/>
  </cols>
  <sheetData>
    <row r="1" spans="1:3" x14ac:dyDescent="0.2">
      <c r="A1" s="6" t="s">
        <v>0</v>
      </c>
      <c r="B1" s="3">
        <v>2023</v>
      </c>
      <c r="C1" s="7">
        <v>2030</v>
      </c>
    </row>
    <row r="2" spans="1:3" x14ac:dyDescent="0.2">
      <c r="A2" s="4" t="s">
        <v>1</v>
      </c>
      <c r="B2" s="8"/>
      <c r="C2" s="8"/>
    </row>
    <row r="3" spans="1:3" x14ac:dyDescent="0.2">
      <c r="A3" s="5" t="s">
        <v>2</v>
      </c>
      <c r="B3" s="9">
        <v>64.400000000000006</v>
      </c>
      <c r="C3" s="9"/>
    </row>
    <row r="4" spans="1:3" x14ac:dyDescent="0.2">
      <c r="A4" s="5" t="s">
        <v>3</v>
      </c>
      <c r="B4" s="9">
        <v>94</v>
      </c>
      <c r="C4" s="9"/>
    </row>
    <row r="5" spans="1:3" x14ac:dyDescent="0.2">
      <c r="A5" s="5" t="s">
        <v>4</v>
      </c>
      <c r="B5" s="44">
        <f>productividad!B19</f>
        <v>0.1045589692765114</v>
      </c>
      <c r="C5" s="9"/>
    </row>
    <row r="6" spans="1:3" x14ac:dyDescent="0.2">
      <c r="A6" s="12" t="s">
        <v>7</v>
      </c>
      <c r="B6" s="10">
        <f>ROUND(PRODUCT(B3:B5), 0)</f>
        <v>633</v>
      </c>
      <c r="C6" s="10"/>
    </row>
    <row r="7" spans="1:3" x14ac:dyDescent="0.2">
      <c r="A7" s="4" t="s">
        <v>5</v>
      </c>
      <c r="B7" s="8"/>
      <c r="C7" s="8"/>
    </row>
    <row r="8" spans="1:3" x14ac:dyDescent="0.2">
      <c r="A8" s="5" t="s">
        <v>2</v>
      </c>
      <c r="B8" s="9"/>
      <c r="C8" s="9">
        <v>96.6</v>
      </c>
    </row>
    <row r="9" spans="1:3" x14ac:dyDescent="0.2">
      <c r="A9" s="5" t="s">
        <v>3</v>
      </c>
      <c r="B9" s="9"/>
      <c r="C9" s="9">
        <v>94</v>
      </c>
    </row>
    <row r="10" spans="1:3" x14ac:dyDescent="0.2">
      <c r="A10" s="5" t="s">
        <v>4</v>
      </c>
      <c r="B10" s="9"/>
      <c r="C10" s="44">
        <f>productividad!C19</f>
        <v>0.46806167400881055</v>
      </c>
    </row>
    <row r="11" spans="1:3" x14ac:dyDescent="0.2">
      <c r="A11" s="12" t="s">
        <v>8</v>
      </c>
      <c r="B11" s="10"/>
      <c r="C11" s="10">
        <f>ROUND(PRODUCT(C8:C10), 0)</f>
        <v>4250</v>
      </c>
    </row>
    <row r="12" spans="1:3" x14ac:dyDescent="0.2">
      <c r="A12" s="11" t="s">
        <v>6</v>
      </c>
      <c r="B12" s="13">
        <f>B6</f>
        <v>633</v>
      </c>
      <c r="C12" s="13">
        <f>C11</f>
        <v>4250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B16" sqref="B16"/>
    </sheetView>
  </sheetViews>
  <sheetFormatPr baseColWidth="10" defaultRowHeight="15" x14ac:dyDescent="0.25"/>
  <cols>
    <col min="1" max="1" width="30.42578125" customWidth="1"/>
    <col min="2" max="3" width="14.7109375" customWidth="1"/>
    <col min="4" max="4" width="13.140625" bestFit="1" customWidth="1"/>
  </cols>
  <sheetData>
    <row r="1" spans="1:7" ht="30" customHeight="1" x14ac:dyDescent="0.25">
      <c r="A1" s="14" t="s">
        <v>0</v>
      </c>
      <c r="B1" s="15" t="s">
        <v>11</v>
      </c>
      <c r="C1" s="16" t="s">
        <v>12</v>
      </c>
      <c r="D1" s="25">
        <f>-B12</f>
        <v>-343714.17</v>
      </c>
      <c r="E1">
        <v>2011</v>
      </c>
    </row>
    <row r="2" spans="1:7" x14ac:dyDescent="0.25">
      <c r="A2" s="17" t="s">
        <v>9</v>
      </c>
      <c r="B2" s="18">
        <f>produccion!B12</f>
        <v>633</v>
      </c>
      <c r="C2" s="18">
        <f>produccion!C12</f>
        <v>4250</v>
      </c>
      <c r="D2">
        <v>0</v>
      </c>
      <c r="E2">
        <v>2012</v>
      </c>
    </row>
    <row r="3" spans="1:7" x14ac:dyDescent="0.25">
      <c r="A3" s="19" t="s">
        <v>10</v>
      </c>
      <c r="B3" s="20">
        <v>170</v>
      </c>
      <c r="C3" s="20">
        <v>170</v>
      </c>
      <c r="D3">
        <v>0</v>
      </c>
      <c r="E3">
        <v>2013</v>
      </c>
    </row>
    <row r="4" spans="1:7" x14ac:dyDescent="0.25">
      <c r="A4" s="21" t="s">
        <v>13</v>
      </c>
      <c r="B4" s="22">
        <f t="shared" ref="B4:C4" si="0">PRODUCT(B2:B3)</f>
        <v>107610</v>
      </c>
      <c r="C4" s="22">
        <f t="shared" si="0"/>
        <v>722500</v>
      </c>
      <c r="D4">
        <v>0</v>
      </c>
      <c r="E4">
        <v>2014</v>
      </c>
    </row>
    <row r="5" spans="1:7" x14ac:dyDescent="0.25">
      <c r="D5">
        <v>0</v>
      </c>
      <c r="E5">
        <v>2015</v>
      </c>
    </row>
    <row r="6" spans="1:7" x14ac:dyDescent="0.25">
      <c r="B6" s="36"/>
      <c r="C6" s="36"/>
      <c r="D6">
        <v>0</v>
      </c>
      <c r="E6">
        <v>2016</v>
      </c>
    </row>
    <row r="7" spans="1:7" x14ac:dyDescent="0.25">
      <c r="A7" s="51">
        <f>PV(30%, 12, 0, B4)</f>
        <v>-4618.8345280000685</v>
      </c>
      <c r="D7">
        <v>0</v>
      </c>
      <c r="E7">
        <v>2017</v>
      </c>
    </row>
    <row r="8" spans="1:7" x14ac:dyDescent="0.25">
      <c r="A8" s="51">
        <f>PV(30%, 19, 0, C4)</f>
        <v>-4942.1299147195568</v>
      </c>
      <c r="D8">
        <v>0</v>
      </c>
      <c r="E8">
        <v>2018</v>
      </c>
    </row>
    <row r="9" spans="1:7" x14ac:dyDescent="0.25">
      <c r="A9" s="51">
        <f>A7+A8</f>
        <v>-9560.9644427196254</v>
      </c>
      <c r="D9">
        <v>0</v>
      </c>
      <c r="E9">
        <v>2019</v>
      </c>
      <c r="G9">
        <f>E13-E1</f>
        <v>12</v>
      </c>
    </row>
    <row r="10" spans="1:7" x14ac:dyDescent="0.25">
      <c r="D10">
        <v>0</v>
      </c>
      <c r="E10">
        <v>2020</v>
      </c>
    </row>
    <row r="11" spans="1:7" x14ac:dyDescent="0.25">
      <c r="D11">
        <v>0</v>
      </c>
      <c r="E11">
        <v>2021</v>
      </c>
    </row>
    <row r="12" spans="1:7" x14ac:dyDescent="0.25">
      <c r="A12" t="s">
        <v>55</v>
      </c>
      <c r="B12" s="52">
        <v>343714.17</v>
      </c>
      <c r="D12">
        <v>0</v>
      </c>
      <c r="E12">
        <v>2022</v>
      </c>
    </row>
    <row r="13" spans="1:7" x14ac:dyDescent="0.25">
      <c r="A13" t="s">
        <v>56</v>
      </c>
      <c r="B13" s="51">
        <f>FV(0%,7, 0, -B4)</f>
        <v>107610</v>
      </c>
      <c r="D13">
        <v>0</v>
      </c>
      <c r="E13">
        <v>2023</v>
      </c>
    </row>
    <row r="14" spans="1:7" x14ac:dyDescent="0.25">
      <c r="B14" s="51">
        <v>722500</v>
      </c>
      <c r="D14">
        <v>0</v>
      </c>
      <c r="E14">
        <v>2024</v>
      </c>
    </row>
    <row r="15" spans="1:7" x14ac:dyDescent="0.25">
      <c r="B15" s="53">
        <f>SUM(B13:B14)</f>
        <v>830110</v>
      </c>
      <c r="D15">
        <v>0</v>
      </c>
      <c r="E15">
        <v>2025</v>
      </c>
    </row>
    <row r="16" spans="1:7" x14ac:dyDescent="0.25">
      <c r="B16" s="51">
        <f>B15-costos_por_fase!A21</f>
        <v>-1157600.4800000004</v>
      </c>
      <c r="D16">
        <v>0</v>
      </c>
      <c r="E16">
        <v>2026</v>
      </c>
    </row>
    <row r="17" spans="4:8" x14ac:dyDescent="0.25">
      <c r="D17">
        <v>0</v>
      </c>
      <c r="E17">
        <v>2027</v>
      </c>
    </row>
    <row r="18" spans="4:8" x14ac:dyDescent="0.25">
      <c r="D18">
        <v>0</v>
      </c>
      <c r="E18">
        <v>2028</v>
      </c>
    </row>
    <row r="19" spans="4:8" x14ac:dyDescent="0.25">
      <c r="D19">
        <v>0</v>
      </c>
      <c r="E19">
        <v>2029</v>
      </c>
      <c r="H19" t="s">
        <v>54</v>
      </c>
    </row>
    <row r="20" spans="4:8" x14ac:dyDescent="0.25">
      <c r="D20" s="51">
        <f>B15</f>
        <v>830110</v>
      </c>
      <c r="E20">
        <v>2030</v>
      </c>
    </row>
    <row r="21" spans="4:8" x14ac:dyDescent="0.25">
      <c r="D21" s="54">
        <f>IRR(D1:D20, 300%)</f>
        <v>4.7501473549053541E-2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productividad</vt:lpstr>
      <vt:lpstr>costos_por_fase</vt:lpstr>
      <vt:lpstr>produccion</vt:lpstr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u1</cp:lastModifiedBy>
  <cp:lastPrinted>2016-09-23T02:36:32Z</cp:lastPrinted>
  <dcterms:created xsi:type="dcterms:W3CDTF">2016-09-22T21:43:01Z</dcterms:created>
  <dcterms:modified xsi:type="dcterms:W3CDTF">2016-09-30T16:31:22Z</dcterms:modified>
</cp:coreProperties>
</file>