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5625" activeTab="0"/>
  </bookViews>
  <sheets>
    <sheet name="Square Tail Fascia Angles" sheetId="1" r:id="rId1"/>
  </sheets>
  <definedNames/>
  <calcPr fullCalcOnLoad="1"/>
</workbook>
</file>

<file path=xl/sharedStrings.xml><?xml version="1.0" encoding="utf-8"?>
<sst xmlns="http://schemas.openxmlformats.org/spreadsheetml/2006/main" count="222" uniqueCount="127">
  <si>
    <t>ENTER</t>
  </si>
  <si>
    <t>degrees</t>
  </si>
  <si>
    <t>Joe Bartok</t>
  </si>
  <si>
    <t>Hidden</t>
  </si>
  <si>
    <t>main pitch</t>
  </si>
  <si>
    <t>main pitch angle</t>
  </si>
  <si>
    <t xml:space="preserve"> degrees</t>
  </si>
  <si>
    <t xml:space="preserve">Total Deck Angle = </t>
  </si>
  <si>
    <t>Square Tail Fascia intercepts Hip Rafter Calculator</t>
  </si>
  <si>
    <t>adj pitch</t>
  </si>
  <si>
    <t>1/main pitch</t>
  </si>
  <si>
    <t>1/adj pitch</t>
  </si>
  <si>
    <t>main num</t>
  </si>
  <si>
    <t>main den</t>
  </si>
  <si>
    <t>main deck angle</t>
  </si>
  <si>
    <t>total deck angle</t>
  </si>
  <si>
    <t>cos total deck angle</t>
  </si>
  <si>
    <t>main pitch/adj pitch</t>
  </si>
  <si>
    <t>adj pitch/main pitch</t>
  </si>
  <si>
    <t>rec main pitch/rec adj pitch</t>
  </si>
  <si>
    <t>rec adj pitch/rec main pitch</t>
  </si>
  <si>
    <t>adj num</t>
  </si>
  <si>
    <t>adj den</t>
  </si>
  <si>
    <t>adj deck angle</t>
  </si>
  <si>
    <t>rec main num</t>
  </si>
  <si>
    <t>rec main den</t>
  </si>
  <si>
    <t>rec main deck angle</t>
  </si>
  <si>
    <t>rec adj num</t>
  </si>
  <si>
    <t>rec adj den</t>
  </si>
  <si>
    <t>rec adj deck angle</t>
  </si>
  <si>
    <t>sin main pitch angle</t>
  </si>
  <si>
    <t>cos main pitch angle</t>
  </si>
  <si>
    <t>sin main deck angle</t>
  </si>
  <si>
    <t>cos main deck angle</t>
  </si>
  <si>
    <t>sin adj pitch angle</t>
  </si>
  <si>
    <t>cos adj pitch angle</t>
  </si>
  <si>
    <t>sin adj deck angle</t>
  </si>
  <si>
    <t>cos adj deck angle</t>
  </si>
  <si>
    <t>adj pitch angle</t>
  </si>
  <si>
    <t>1/main pitch angle</t>
  </si>
  <si>
    <t>1/adj pitch angle</t>
  </si>
  <si>
    <t>sin 1/main pitch angle</t>
  </si>
  <si>
    <t>cos 1/main pitch angle</t>
  </si>
  <si>
    <t>sin 1/adj pitch angle</t>
  </si>
  <si>
    <t>cos 1/adj pitch angle</t>
  </si>
  <si>
    <t>sin 1/main deck angle</t>
  </si>
  <si>
    <t>cos 1/adj deck angle</t>
  </si>
  <si>
    <t>cos 1/main deck angle</t>
  </si>
  <si>
    <t>sin 1/adj deck angle</t>
  </si>
  <si>
    <t>main sheathing angle</t>
  </si>
  <si>
    <t>hip x</t>
  </si>
  <si>
    <t>hip y</t>
  </si>
  <si>
    <t>hip z</t>
  </si>
  <si>
    <t>rec hip x</t>
  </si>
  <si>
    <t>rec hip y</t>
  </si>
  <si>
    <t>rec hip z</t>
  </si>
  <si>
    <t>hip modulus</t>
  </si>
  <si>
    <t>rec hip modulus</t>
  </si>
  <si>
    <t>adj sheathing angle</t>
  </si>
  <si>
    <t>main fascia angle on the stick</t>
  </si>
  <si>
    <t>adj fascia angle on the stick</t>
  </si>
  <si>
    <t>main hip miter angle</t>
  </si>
  <si>
    <t>main hip bevel angle</t>
  </si>
  <si>
    <t>adj hip miter angle</t>
  </si>
  <si>
    <t>adj hip bevel angle</t>
  </si>
  <si>
    <t>main fascia miter angle</t>
  </si>
  <si>
    <t>adj fascia miter angle</t>
  </si>
  <si>
    <t>main fascia bevel angle</t>
  </si>
  <si>
    <t>adj fascia bevel angle</t>
  </si>
  <si>
    <t>main eave x</t>
  </si>
  <si>
    <t>main eave y</t>
  </si>
  <si>
    <t>main eave z</t>
  </si>
  <si>
    <t>adj eave x</t>
  </si>
  <si>
    <t>adj eave y</t>
  </si>
  <si>
    <t>adj eave z</t>
  </si>
  <si>
    <t>main eave × rec hip</t>
  </si>
  <si>
    <t>adj eave × rec hip</t>
  </si>
  <si>
    <t>x =</t>
  </si>
  <si>
    <t>y =</t>
  </si>
  <si>
    <t>z =</t>
  </si>
  <si>
    <t>hip × rec hip</t>
  </si>
  <si>
    <t>main fascia bevel</t>
  </si>
  <si>
    <t>modulus =</t>
  </si>
  <si>
    <t>90° – main fascia bevel</t>
  </si>
  <si>
    <t>90° – adj fascia bevel</t>
  </si>
  <si>
    <t>adj fascia bevel</t>
  </si>
  <si>
    <t xml:space="preserve">angle between matching faces </t>
  </si>
  <si>
    <t xml:space="preserve">180° – angle between matching faces </t>
  </si>
  <si>
    <t>Main Side Angles</t>
  </si>
  <si>
    <t>Fascia Miter  =</t>
  </si>
  <si>
    <t>Fascia Bevel  =</t>
  </si>
  <si>
    <t>Hip Rafter Miter =</t>
  </si>
  <si>
    <t>Hip Rafter Bevel =</t>
  </si>
  <si>
    <t>Adjacent Side Angles</t>
  </si>
  <si>
    <t>Supplementary Data</t>
  </si>
  <si>
    <t xml:space="preserve"> Enter "Pitch" or "Angle"</t>
  </si>
  <si>
    <t>Pitch</t>
  </si>
  <si>
    <t xml:space="preserve">Enter values as ? </t>
  </si>
  <si>
    <t>Vector Endpoint Co-ordinates</t>
  </si>
  <si>
    <t>Angle Calculations</t>
  </si>
  <si>
    <t>Cross Products</t>
  </si>
  <si>
    <t xml:space="preserve">x = </t>
  </si>
  <si>
    <t xml:space="preserve">y = </t>
  </si>
  <si>
    <t xml:space="preserve">z = </t>
  </si>
  <si>
    <t>Main Eave</t>
  </si>
  <si>
    <t>Adjacent Eave</t>
  </si>
  <si>
    <t>Hip Rafter</t>
  </si>
  <si>
    <t>Reciprocal Hip Rafter</t>
  </si>
  <si>
    <t xml:space="preserve">Magnitude = </t>
  </si>
  <si>
    <t>Main Eave × Reciprocal Hip Rafter</t>
  </si>
  <si>
    <t>Adjacent Eave × Reciprocal Hip Rafter</t>
  </si>
  <si>
    <t>Hip Rafter × Reciprocal Hip Rafter</t>
  </si>
  <si>
    <t xml:space="preserve">Angle between Matching Faces </t>
  </si>
  <si>
    <t xml:space="preserve">180° – Angle between Matching Faces </t>
  </si>
  <si>
    <t xml:space="preserve">Adjacent Fascia Miter </t>
  </si>
  <si>
    <t xml:space="preserve">Adjacent Fascia Bevel </t>
  </si>
  <si>
    <t xml:space="preserve">Adjacent Hip Miter </t>
  </si>
  <si>
    <t xml:space="preserve">Adjacent Hip Bevel </t>
  </si>
  <si>
    <t xml:space="preserve">Main Fascia Miter </t>
  </si>
  <si>
    <t xml:space="preserve">Main Fascia Bevel </t>
  </si>
  <si>
    <t xml:space="preserve">Main Hip Miter </t>
  </si>
  <si>
    <t xml:space="preserve">Main Hip Bevel </t>
  </si>
  <si>
    <t xml:space="preserve">Main Fascia Angle on the Stick </t>
  </si>
  <si>
    <t xml:space="preserve">Adjacent Fascia Angle on the Stick </t>
  </si>
  <si>
    <t xml:space="preserve">Main Sheathing Angle </t>
  </si>
  <si>
    <t xml:space="preserve">Adjacent Sheathing Angle </t>
  </si>
  <si>
    <t>rec hip × hip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</si>
</sst>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/16"/>
    <numFmt numFmtId="165" formatCode="00000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2"/>
      <color indexed="21"/>
      <name val="Times New Roman"/>
      <family val="1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54"/>
      <name val="Garamond"/>
      <family val="1"/>
    </font>
    <font>
      <b/>
      <sz val="12"/>
      <color indexed="20"/>
      <name val="Times New Roman"/>
      <family val="1"/>
    </font>
    <font>
      <sz val="10"/>
      <color indexed="8"/>
      <name val="Arial"/>
      <family val="2"/>
    </font>
    <font>
      <b/>
      <sz val="14"/>
      <color indexed="21"/>
      <name val="Garamond"/>
      <family val="1"/>
    </font>
    <font>
      <b/>
      <sz val="12"/>
      <color indexed="16"/>
      <name val="Times New Roman"/>
      <family val="1"/>
    </font>
    <font>
      <sz val="10"/>
      <color indexed="10"/>
      <name val="Arial"/>
      <family val="2"/>
    </font>
    <font>
      <sz val="12"/>
      <color indexed="12"/>
      <name val="Times New Roman"/>
      <family val="1"/>
    </font>
    <font>
      <b/>
      <sz val="14"/>
      <color indexed="12"/>
      <name val="Garamond"/>
      <family val="1"/>
    </font>
    <font>
      <sz val="12"/>
      <name val="Garamond"/>
      <family val="1"/>
    </font>
    <font>
      <b/>
      <sz val="12"/>
      <color indexed="61"/>
      <name val="Times New Roman"/>
      <family val="1"/>
    </font>
    <font>
      <b/>
      <sz val="14"/>
      <color indexed="20"/>
      <name val="Garamond"/>
      <family val="1"/>
    </font>
    <font>
      <b/>
      <i/>
      <sz val="10"/>
      <name val="Arial"/>
      <family val="2"/>
    </font>
    <font>
      <b/>
      <sz val="10"/>
      <color indexed="2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6" borderId="0" xfId="0" applyFill="1" applyAlignment="1">
      <alignment horizontal="center"/>
    </xf>
    <xf numFmtId="0" fontId="0" fillId="5" borderId="0" xfId="0" applyFill="1" applyAlignment="1">
      <alignment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66675</xdr:rowOff>
    </xdr:from>
    <xdr:to>
      <xdr:col>9</xdr:col>
      <xdr:colOff>133350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20967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</xdr:row>
      <xdr:rowOff>142875</xdr:rowOff>
    </xdr:from>
    <xdr:to>
      <xdr:col>3</xdr:col>
      <xdr:colOff>180975</xdr:colOff>
      <xdr:row>17</xdr:row>
      <xdr:rowOff>95250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723900"/>
          <a:ext cx="18288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2</xdr:row>
      <xdr:rowOff>19050</xdr:rowOff>
    </xdr:from>
    <xdr:to>
      <xdr:col>20</xdr:col>
      <xdr:colOff>485775</xdr:colOff>
      <xdr:row>19</xdr:row>
      <xdr:rowOff>0</xdr:rowOff>
    </xdr:to>
    <xdr:grpSp>
      <xdr:nvGrpSpPr>
        <xdr:cNvPr id="3" name="Group 45"/>
        <xdr:cNvGrpSpPr>
          <a:grpSpLocks/>
        </xdr:cNvGrpSpPr>
      </xdr:nvGrpSpPr>
      <xdr:grpSpPr>
        <a:xfrm>
          <a:off x="6515100" y="342900"/>
          <a:ext cx="6467475" cy="3467100"/>
          <a:chOff x="690" y="33"/>
          <a:chExt cx="679" cy="364"/>
        </a:xfrm>
        <a:solidFill>
          <a:srgbClr val="FFFFFF"/>
        </a:solidFill>
      </xdr:grpSpPr>
      <xdr:pic>
        <xdr:nvPicPr>
          <xdr:cNvPr id="4" name="Picture 4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90" y="33"/>
            <a:ext cx="338" cy="3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31" y="33"/>
            <a:ext cx="338" cy="3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12</xdr:col>
      <xdr:colOff>533400</xdr:colOff>
      <xdr:row>19</xdr:row>
      <xdr:rowOff>190500</xdr:rowOff>
    </xdr:from>
    <xdr:to>
      <xdr:col>19</xdr:col>
      <xdr:colOff>66675</xdr:colOff>
      <xdr:row>47</xdr:row>
      <xdr:rowOff>9525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4000500"/>
          <a:ext cx="387667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7" max="7" width="10.57421875" style="0" customWidth="1"/>
    <col min="8" max="8" width="11.140625" style="0" customWidth="1"/>
    <col min="16" max="16" width="10.28125" style="0" customWidth="1"/>
    <col min="22" max="22" width="9.140625" style="15" customWidth="1"/>
    <col min="23" max="23" width="0" style="65" hidden="1" customWidth="1"/>
    <col min="24" max="24" width="10.57421875" style="0" hidden="1" customWidth="1"/>
    <col min="25" max="28" width="0" style="0" hidden="1" customWidth="1"/>
    <col min="29" max="29" width="12.421875" style="0" hidden="1" customWidth="1"/>
    <col min="30" max="37" width="0" style="0" hidden="1" customWidth="1"/>
    <col min="38" max="38" width="12.28125" style="0" hidden="1" customWidth="1"/>
    <col min="39" max="39" width="11.7109375" style="0" hidden="1" customWidth="1"/>
    <col min="40" max="40" width="11.421875" style="0" hidden="1" customWidth="1"/>
    <col min="41" max="41" width="0" style="10" hidden="1" customWidth="1"/>
    <col min="42" max="42" width="15.28125" style="0" hidden="1" customWidth="1"/>
    <col min="43" max="16384" width="0" style="0" hidden="1" customWidth="1"/>
  </cols>
  <sheetData>
    <row r="2" ht="12.75">
      <c r="W2" s="56" t="s">
        <v>3</v>
      </c>
    </row>
    <row r="3" ht="20.25">
      <c r="C3" s="8" t="s">
        <v>8</v>
      </c>
    </row>
    <row r="4" spans="43:46" ht="12.75">
      <c r="AQ4" s="22"/>
      <c r="AR4" s="10"/>
      <c r="AT4" s="10"/>
    </row>
    <row r="5" spans="6:49" ht="15.75">
      <c r="F5" s="1" t="s">
        <v>97</v>
      </c>
      <c r="G5" s="6" t="s">
        <v>96</v>
      </c>
      <c r="H5" t="s">
        <v>95</v>
      </c>
      <c r="AG5" s="21"/>
      <c r="AH5" s="19" t="s">
        <v>4</v>
      </c>
      <c r="AI5" s="27">
        <f>IF(LEFT($G$5)="a",TAN(RADIANS($G$7)),$G$7/$G$8)</f>
        <v>0.5833333333333334</v>
      </c>
      <c r="AJ5" s="21"/>
      <c r="AK5" s="21"/>
      <c r="AL5" s="19" t="s">
        <v>10</v>
      </c>
      <c r="AM5" s="27">
        <f>IF(LEFT($G$5)="a",1/TAN(RADIANS($G$7)),$G$8/$G$7)</f>
        <v>1.7142857142857142</v>
      </c>
      <c r="AO5" s="23"/>
      <c r="AQ5" s="22"/>
      <c r="AR5" s="4"/>
      <c r="AT5" s="10"/>
      <c r="AW5" s="23"/>
    </row>
    <row r="6" spans="4:50" ht="15.75">
      <c r="D6" s="12"/>
      <c r="E6" s="12"/>
      <c r="F6" s="32"/>
      <c r="G6" s="14" t="s">
        <v>0</v>
      </c>
      <c r="H6" s="12"/>
      <c r="AC6" s="9"/>
      <c r="AG6" s="21"/>
      <c r="AH6" s="51" t="s">
        <v>9</v>
      </c>
      <c r="AI6" s="27">
        <f>IF(LEFT($G$5)="a",TAN(RADIANS($G$9)),$G$9/$G$10)</f>
        <v>1</v>
      </c>
      <c r="AJ6" s="21"/>
      <c r="AK6" s="21"/>
      <c r="AL6" s="51" t="s">
        <v>11</v>
      </c>
      <c r="AM6" s="27">
        <f>IF(LEFT($G$5)="a",1/TAN(RADIANS($G$9)),$G$10/$G$9)</f>
        <v>1</v>
      </c>
      <c r="AO6" s="4"/>
      <c r="AP6" s="10"/>
      <c r="AQ6" s="22"/>
      <c r="AR6" s="10"/>
      <c r="AT6" s="10"/>
      <c r="AW6" s="4"/>
      <c r="AX6" s="10"/>
    </row>
    <row r="7" spans="3:50" ht="15.75">
      <c r="C7" s="12"/>
      <c r="D7" s="12"/>
      <c r="E7" s="12"/>
      <c r="F7" s="33" t="str">
        <f>IF(LEFT($G$5)="a","Main Pitch Angle = ","Main Roof Rise = ")</f>
        <v>Main Roof Rise = </v>
      </c>
      <c r="G7" s="6">
        <v>7</v>
      </c>
      <c r="H7" s="27" t="str">
        <f>IF(LEFT($G$5)="a"," degrees"," ")</f>
        <v> </v>
      </c>
      <c r="AG7" s="21"/>
      <c r="AH7" s="4" t="s">
        <v>17</v>
      </c>
      <c r="AI7" s="10">
        <f>$AI$5/$AI$6</f>
        <v>0.5833333333333334</v>
      </c>
      <c r="AJ7" s="21"/>
      <c r="AK7" s="21"/>
      <c r="AL7" s="4" t="s">
        <v>19</v>
      </c>
      <c r="AM7" s="10">
        <f>$AM$5/$AM$6</f>
        <v>1.7142857142857142</v>
      </c>
      <c r="AO7" s="4"/>
      <c r="AP7" s="10"/>
      <c r="AT7" s="10"/>
      <c r="AW7" s="19"/>
      <c r="AX7" s="27"/>
    </row>
    <row r="8" spans="3:50" ht="15.75">
      <c r="C8" s="12"/>
      <c r="D8" s="12"/>
      <c r="E8" s="12"/>
      <c r="F8" s="33" t="str">
        <f>IF(LEFT($G$5)="a","Value not required ","Main Roof Run = ")</f>
        <v>Main Roof Run = </v>
      </c>
      <c r="G8" s="6">
        <v>12</v>
      </c>
      <c r="H8" s="59"/>
      <c r="AC8" s="4"/>
      <c r="AG8" s="21"/>
      <c r="AH8" s="4" t="s">
        <v>18</v>
      </c>
      <c r="AI8" s="10">
        <f>$AI$6/$AI$5</f>
        <v>1.7142857142857142</v>
      </c>
      <c r="AJ8" s="21"/>
      <c r="AK8" s="21"/>
      <c r="AL8" s="4" t="s">
        <v>20</v>
      </c>
      <c r="AM8" s="10">
        <f>$AM$6/$AM$5</f>
        <v>0.5833333333333334</v>
      </c>
      <c r="AO8" s="17"/>
      <c r="AP8" s="24"/>
      <c r="AR8" s="10"/>
      <c r="AS8" s="10"/>
      <c r="AT8" s="10"/>
      <c r="AU8" s="10"/>
      <c r="AW8" s="19"/>
      <c r="AX8" s="10"/>
    </row>
    <row r="9" spans="3:50" ht="15.75">
      <c r="C9" s="12"/>
      <c r="D9" s="12"/>
      <c r="E9" s="12"/>
      <c r="F9" s="33" t="str">
        <f>IF(LEFT($G$5)="a","Adjacent Pitch Angle = ","Adjacent Roof Rise = ")</f>
        <v>Adjacent Roof Rise = </v>
      </c>
      <c r="G9" s="6">
        <v>12</v>
      </c>
      <c r="H9" s="27" t="str">
        <f>IF(LEFT($G$5)="a"," degrees"," ")</f>
        <v> </v>
      </c>
      <c r="K9" s="35"/>
      <c r="AC9" s="4"/>
      <c r="AJ9" s="21"/>
      <c r="AK9" s="21"/>
      <c r="AO9" s="4"/>
      <c r="AP9" s="10"/>
      <c r="AR9" s="10"/>
      <c r="AT9" s="10"/>
      <c r="AU9" s="10"/>
      <c r="AW9" s="20"/>
      <c r="AX9" s="25"/>
    </row>
    <row r="10" spans="3:50" ht="15.75">
      <c r="C10" s="12"/>
      <c r="D10" s="12"/>
      <c r="E10" s="12"/>
      <c r="F10" s="33" t="str">
        <f>IF(LEFT($G$5)="a","Value not required ","Adjacent Roof Run = ")</f>
        <v>Adjacent Roof Run = </v>
      </c>
      <c r="G10" s="6">
        <v>12</v>
      </c>
      <c r="H10" s="59"/>
      <c r="I10" s="7" t="s">
        <v>2</v>
      </c>
      <c r="AC10" s="4"/>
      <c r="AH10" s="4" t="s">
        <v>5</v>
      </c>
      <c r="AI10" s="10">
        <f>ATAN($AI$5)</f>
        <v>0.5280744484263596</v>
      </c>
      <c r="AL10" s="4" t="s">
        <v>39</v>
      </c>
      <c r="AM10" s="10">
        <f>ATAN($AM$5)</f>
        <v>1.042721878368537</v>
      </c>
      <c r="AO10" s="4"/>
      <c r="AP10" s="10"/>
      <c r="AT10" s="10"/>
      <c r="AU10" s="10"/>
      <c r="AW10" s="17"/>
      <c r="AX10" s="24"/>
    </row>
    <row r="11" spans="3:50" ht="15.75">
      <c r="C11" s="12"/>
      <c r="F11" s="33" t="s">
        <v>7</v>
      </c>
      <c r="G11" s="6">
        <v>90</v>
      </c>
      <c r="H11" t="s">
        <v>6</v>
      </c>
      <c r="AC11" s="4"/>
      <c r="AH11" s="4" t="s">
        <v>5</v>
      </c>
      <c r="AI11" s="10">
        <f>DEGREES($AI$10)</f>
        <v>30.256437163529263</v>
      </c>
      <c r="AL11" s="4" t="s">
        <v>39</v>
      </c>
      <c r="AM11" s="10">
        <f>DEGREES($AM$10)</f>
        <v>59.743562836470744</v>
      </c>
      <c r="AO11" s="17"/>
      <c r="AP11" s="24"/>
      <c r="AT11" s="10"/>
      <c r="AU11" s="10"/>
      <c r="AW11" s="4"/>
      <c r="AX11" s="10"/>
    </row>
    <row r="12" spans="3:50" ht="15">
      <c r="C12" s="12"/>
      <c r="AC12" s="4"/>
      <c r="AG12" s="21"/>
      <c r="AH12" s="4" t="s">
        <v>38</v>
      </c>
      <c r="AI12" s="10">
        <f>ATAN($AI$6)</f>
        <v>0.7853981633974483</v>
      </c>
      <c r="AJ12" s="21"/>
      <c r="AL12" s="4" t="s">
        <v>40</v>
      </c>
      <c r="AM12" s="10">
        <f>ATAN($AM$6)</f>
        <v>0.7853981633974483</v>
      </c>
      <c r="AO12" s="4"/>
      <c r="AP12" s="10"/>
      <c r="AQ12" s="4"/>
      <c r="AT12" s="10"/>
      <c r="AU12" s="10"/>
      <c r="AX12" s="10"/>
    </row>
    <row r="13" spans="3:50" ht="18.75">
      <c r="C13" s="29"/>
      <c r="F13" s="57" t="s">
        <v>88</v>
      </c>
      <c r="H13" s="67" t="str">
        <f>IF($AM$38&gt;90,"Angle on the Stick &gt; 90°"," ")</f>
        <v> </v>
      </c>
      <c r="I13" s="7"/>
      <c r="K13" s="26"/>
      <c r="AC13" s="4"/>
      <c r="AH13" s="4" t="s">
        <v>38</v>
      </c>
      <c r="AI13" s="10">
        <f>DEGREES($AI$12)</f>
        <v>45</v>
      </c>
      <c r="AL13" s="4" t="s">
        <v>40</v>
      </c>
      <c r="AM13" s="10">
        <f>DEGREES($AM$12)</f>
        <v>45</v>
      </c>
      <c r="AO13" s="4"/>
      <c r="AP13" s="16"/>
      <c r="AT13" s="10"/>
      <c r="AU13" s="10"/>
      <c r="AW13" s="4"/>
      <c r="AX13" s="10"/>
    </row>
    <row r="14" spans="3:50" ht="15.75">
      <c r="C14" s="12"/>
      <c r="E14" s="13"/>
      <c r="F14" s="1" t="s">
        <v>89</v>
      </c>
      <c r="G14" s="5">
        <f>$AM$43</f>
        <v>40.8197613240407</v>
      </c>
      <c r="H14" s="5" t="s">
        <v>1</v>
      </c>
      <c r="I14" s="67" t="str">
        <f>IF($AM$38&gt;90,$AM$38," ")</f>
        <v> </v>
      </c>
      <c r="J14" s="67" t="str">
        <f>IF($AM$38&gt;90,"degrees"," ")</f>
        <v> </v>
      </c>
      <c r="AC14" s="4"/>
      <c r="AI14" s="10"/>
      <c r="AO14" s="4"/>
      <c r="AP14" s="16"/>
      <c r="AQ14" s="17"/>
      <c r="AR14" s="10"/>
      <c r="AT14" s="10"/>
      <c r="AU14" s="10"/>
      <c r="AW14" s="17"/>
      <c r="AX14" s="24"/>
    </row>
    <row r="15" spans="2:50" ht="15.75">
      <c r="B15" s="2"/>
      <c r="C15" s="2"/>
      <c r="D15" s="2"/>
      <c r="E15" s="2"/>
      <c r="F15" s="1" t="s">
        <v>90</v>
      </c>
      <c r="G15" s="5">
        <f>$AL$111</f>
        <v>20.87256418375443</v>
      </c>
      <c r="H15" s="5" t="s">
        <v>1</v>
      </c>
      <c r="I15" s="2"/>
      <c r="J15" s="2"/>
      <c r="K15" s="2"/>
      <c r="AC15" s="4"/>
      <c r="AH15" s="19" t="s">
        <v>15</v>
      </c>
      <c r="AI15" s="27">
        <f>RADIANS($G$11)</f>
        <v>1.5707963267948966</v>
      </c>
      <c r="AO15" s="4"/>
      <c r="AP15" s="16"/>
      <c r="AR15" s="10"/>
      <c r="AT15" s="10"/>
      <c r="AU15" s="10"/>
      <c r="AW15" s="4"/>
      <c r="AX15" s="10"/>
    </row>
    <row r="16" spans="2:50" ht="15.75">
      <c r="B16" s="2"/>
      <c r="C16" s="2"/>
      <c r="D16" s="2"/>
      <c r="E16" s="2"/>
      <c r="F16" s="1" t="s">
        <v>91</v>
      </c>
      <c r="G16" s="5">
        <f>$AI$43</f>
        <v>7.290013702346909</v>
      </c>
      <c r="H16" s="5" t="s">
        <v>1</v>
      </c>
      <c r="I16" s="7"/>
      <c r="J16" s="2"/>
      <c r="K16" s="2"/>
      <c r="AC16" s="4"/>
      <c r="AF16" s="18"/>
      <c r="AH16" s="19" t="s">
        <v>16</v>
      </c>
      <c r="AI16" s="27">
        <f>COS($AI$15)</f>
        <v>6.1257422745431E-17</v>
      </c>
      <c r="AO16" s="4"/>
      <c r="AP16" s="10"/>
      <c r="AT16" s="10"/>
      <c r="AU16" s="10"/>
      <c r="AW16" s="4"/>
      <c r="AX16" s="10"/>
    </row>
    <row r="17" spans="2:50" ht="15.75">
      <c r="B17" s="2"/>
      <c r="C17" s="2"/>
      <c r="D17" s="2"/>
      <c r="F17" s="1" t="s">
        <v>92</v>
      </c>
      <c r="G17" s="5">
        <f>$AI$45</f>
        <v>25.800131176825605</v>
      </c>
      <c r="H17" s="5" t="s">
        <v>1</v>
      </c>
      <c r="I17" s="7"/>
      <c r="J17" s="2"/>
      <c r="K17" s="2"/>
      <c r="AC17" s="4"/>
      <c r="AO17" s="4"/>
      <c r="AP17" s="10"/>
      <c r="AQ17" s="17"/>
      <c r="AR17" s="10"/>
      <c r="AT17" s="10"/>
      <c r="AU17" s="10"/>
      <c r="AW17" s="20"/>
      <c r="AX17" s="25"/>
    </row>
    <row r="18" spans="2:50" ht="15.75">
      <c r="B18" s="2"/>
      <c r="C18" s="2"/>
      <c r="D18" s="2"/>
      <c r="I18" s="2"/>
      <c r="J18" s="2"/>
      <c r="K18" s="2"/>
      <c r="AC18" s="4"/>
      <c r="AH18" s="19" t="s">
        <v>12</v>
      </c>
      <c r="AI18" s="52">
        <f>$AI$7+$AI$16</f>
        <v>0.5833333333333335</v>
      </c>
      <c r="AJ18" s="21"/>
      <c r="AL18" s="19" t="s">
        <v>24</v>
      </c>
      <c r="AM18" s="52">
        <f>$AM$7+$AI$16</f>
        <v>1.7142857142857142</v>
      </c>
      <c r="AO18" s="4"/>
      <c r="AP18" s="10"/>
      <c r="AR18" s="10"/>
      <c r="AT18" s="10"/>
      <c r="AU18" s="10"/>
      <c r="AW18" s="19"/>
      <c r="AX18" s="27"/>
    </row>
    <row r="19" spans="2:50" ht="18.75">
      <c r="B19" s="2"/>
      <c r="C19" s="2"/>
      <c r="D19" s="2"/>
      <c r="F19" s="58" t="s">
        <v>93</v>
      </c>
      <c r="H19" s="67" t="str">
        <f>IF($AM$40&gt;90,"Angle on the Stick &gt; 90°"," ")</f>
        <v> </v>
      </c>
      <c r="I19" s="7"/>
      <c r="J19" s="2"/>
      <c r="K19" s="2"/>
      <c r="AC19" s="4"/>
      <c r="AH19" s="19" t="s">
        <v>13</v>
      </c>
      <c r="AI19" s="52">
        <f>SQRT($AI$7*$AI$7+2*$AI$7*$AI$16+1)</f>
        <v>1.1577036657874837</v>
      </c>
      <c r="AJ19" s="52"/>
      <c r="AL19" s="19" t="s">
        <v>25</v>
      </c>
      <c r="AM19" s="52">
        <f>SQRT($AM$7*$AM$7+2*$AM$7*$AI$16+1)</f>
        <v>1.9846348556356863</v>
      </c>
      <c r="AO19" s="4"/>
      <c r="AP19" s="10"/>
      <c r="AT19" s="10"/>
      <c r="AU19" s="10"/>
      <c r="AW19" s="4"/>
      <c r="AX19" s="10"/>
    </row>
    <row r="20" spans="2:50" ht="15.75">
      <c r="B20" s="2"/>
      <c r="C20" s="2"/>
      <c r="E20" s="13"/>
      <c r="F20" s="1" t="s">
        <v>89</v>
      </c>
      <c r="G20" s="5">
        <f>$AM$45</f>
        <v>22.41511705373409</v>
      </c>
      <c r="H20" s="5" t="s">
        <v>1</v>
      </c>
      <c r="I20" s="67" t="str">
        <f>IF($AM$40&gt;90,$AM$40," ")</f>
        <v> </v>
      </c>
      <c r="J20" s="67" t="str">
        <f>IF($AM$40&gt;90,"degrees"," ")</f>
        <v> </v>
      </c>
      <c r="K20" s="2"/>
      <c r="AC20" s="4"/>
      <c r="AH20" s="53" t="s">
        <v>14</v>
      </c>
      <c r="AI20" s="30">
        <f>ACOS($AI$18/$AI$19)</f>
        <v>1.0427218783685368</v>
      </c>
      <c r="AJ20" s="21"/>
      <c r="AK20" s="38"/>
      <c r="AL20" s="50" t="s">
        <v>26</v>
      </c>
      <c r="AM20" s="49">
        <f>ACOS($AM$18/$AM$19)</f>
        <v>0.5280744484263595</v>
      </c>
      <c r="AO20" s="4"/>
      <c r="AP20" s="10"/>
      <c r="AQ20" s="4"/>
      <c r="AT20" s="10"/>
      <c r="AU20" s="10"/>
      <c r="AW20" s="4"/>
      <c r="AX20" s="10"/>
    </row>
    <row r="21" spans="2:50" ht="15.75">
      <c r="B21" s="2"/>
      <c r="C21" s="2"/>
      <c r="E21" s="2"/>
      <c r="F21" s="1" t="s">
        <v>90</v>
      </c>
      <c r="G21" s="5">
        <f>ABS($AL$118)</f>
        <v>48.25487163249116</v>
      </c>
      <c r="H21" s="5" t="s">
        <v>1</v>
      </c>
      <c r="I21" s="7"/>
      <c r="J21" s="2"/>
      <c r="K21" s="2"/>
      <c r="AC21" s="4"/>
      <c r="AH21" s="53" t="s">
        <v>14</v>
      </c>
      <c r="AI21" s="30">
        <f>DEGREES($AI$20)</f>
        <v>59.74356283647073</v>
      </c>
      <c r="AK21" s="38"/>
      <c r="AL21" s="50" t="s">
        <v>26</v>
      </c>
      <c r="AM21" s="49">
        <f>DEGREES($AM$20)</f>
        <v>30.25643716352926</v>
      </c>
      <c r="AO21" s="4"/>
      <c r="AP21" s="10"/>
      <c r="AQ21" s="17"/>
      <c r="AR21" s="10"/>
      <c r="AT21" s="10"/>
      <c r="AW21" s="4"/>
      <c r="AX21" s="10"/>
    </row>
    <row r="22" spans="2:50" ht="15.75">
      <c r="B22" s="2"/>
      <c r="C22" s="2"/>
      <c r="E22" s="2"/>
      <c r="F22" s="1" t="s">
        <v>91</v>
      </c>
      <c r="G22" s="5">
        <f>$AI$48</f>
        <v>36.51557792916576</v>
      </c>
      <c r="H22" s="5" t="s">
        <v>1</v>
      </c>
      <c r="I22" s="2"/>
      <c r="J22" s="2"/>
      <c r="K22" s="2"/>
      <c r="AC22" s="4"/>
      <c r="AO22" s="4"/>
      <c r="AP22" s="10"/>
      <c r="AQ22" s="21"/>
      <c r="AR22" s="10"/>
      <c r="AT22" s="10"/>
      <c r="AW22" s="20"/>
      <c r="AX22" s="25"/>
    </row>
    <row r="23" spans="2:50" ht="15.75">
      <c r="B23" s="2"/>
      <c r="C23" s="2"/>
      <c r="F23" s="1" t="s">
        <v>92</v>
      </c>
      <c r="G23" s="5">
        <f>$AI$50</f>
        <v>37.64620696750627</v>
      </c>
      <c r="H23" s="5" t="s">
        <v>1</v>
      </c>
      <c r="I23" s="2"/>
      <c r="J23" s="2"/>
      <c r="K23" s="2"/>
      <c r="AC23" s="4"/>
      <c r="AG23" s="21"/>
      <c r="AH23" s="19" t="s">
        <v>21</v>
      </c>
      <c r="AI23" s="52">
        <f>$AI$8+$AI$16</f>
        <v>1.7142857142857142</v>
      </c>
      <c r="AL23" s="19" t="s">
        <v>27</v>
      </c>
      <c r="AM23" s="52">
        <f>$AM$8+$AI$16</f>
        <v>0.5833333333333335</v>
      </c>
      <c r="AO23" s="4"/>
      <c r="AP23" s="10"/>
      <c r="AQ23" s="4"/>
      <c r="AR23" s="10"/>
      <c r="AT23" s="10"/>
      <c r="AX23" s="10"/>
    </row>
    <row r="24" spans="2:50" ht="15.75">
      <c r="B24" s="2"/>
      <c r="C24" s="2"/>
      <c r="K24" s="2"/>
      <c r="AC24" s="4"/>
      <c r="AG24" s="21"/>
      <c r="AH24" s="19" t="s">
        <v>22</v>
      </c>
      <c r="AI24" s="52">
        <f>SQRT($AI$8*$AI$8+2*$AI$8*$AI$16+1)</f>
        <v>1.9846348556356863</v>
      </c>
      <c r="AL24" s="19" t="s">
        <v>28</v>
      </c>
      <c r="AM24" s="52">
        <f>SQRT($AM$8*$AM$8+2*$AM$8*$AI$16+1)</f>
        <v>1.1577036657874837</v>
      </c>
      <c r="AO24" s="4"/>
      <c r="AP24" s="10"/>
      <c r="AQ24" s="17"/>
      <c r="AR24" s="10"/>
      <c r="AT24" s="10"/>
      <c r="AW24" s="4"/>
      <c r="AX24" s="10"/>
    </row>
    <row r="25" spans="2:50" ht="20.25">
      <c r="B25" s="2"/>
      <c r="C25" s="2"/>
      <c r="D25" s="2"/>
      <c r="E25" s="2"/>
      <c r="F25" s="60" t="s">
        <v>94</v>
      </c>
      <c r="G25" s="2"/>
      <c r="I25" s="2"/>
      <c r="J25" s="2"/>
      <c r="K25" s="2"/>
      <c r="AC25" s="4"/>
      <c r="AH25" s="53" t="s">
        <v>23</v>
      </c>
      <c r="AI25" s="30">
        <f>ACOS($AI$23/$AI$24)</f>
        <v>0.5280744484263595</v>
      </c>
      <c r="AK25" s="38"/>
      <c r="AL25" s="50" t="s">
        <v>29</v>
      </c>
      <c r="AM25" s="49">
        <f>ACOS($AM$23/$AM$24)</f>
        <v>1.0427218783685368</v>
      </c>
      <c r="AO25" s="4"/>
      <c r="AP25" s="10"/>
      <c r="AQ25" s="19"/>
      <c r="AR25" s="10"/>
      <c r="AT25" s="10"/>
      <c r="AW25" s="17"/>
      <c r="AX25" s="24"/>
    </row>
    <row r="26" spans="2:50" ht="15.75">
      <c r="B26" s="2"/>
      <c r="C26" s="2"/>
      <c r="D26" s="2"/>
      <c r="G26" s="2"/>
      <c r="H26" s="2"/>
      <c r="I26" s="2"/>
      <c r="J26" s="2"/>
      <c r="K26" s="2"/>
      <c r="AC26" s="4"/>
      <c r="AH26" s="53" t="s">
        <v>23</v>
      </c>
      <c r="AI26" s="30">
        <f>DEGREES($AI$25)</f>
        <v>30.25643716352926</v>
      </c>
      <c r="AK26" s="38"/>
      <c r="AL26" s="50" t="s">
        <v>29</v>
      </c>
      <c r="AM26" s="49">
        <f>DEGREES($AM$25)</f>
        <v>59.74356283647073</v>
      </c>
      <c r="AO26" s="4"/>
      <c r="AP26" s="10"/>
      <c r="AQ26" s="4"/>
      <c r="AR26" s="10"/>
      <c r="AT26" s="10"/>
      <c r="AW26" s="4"/>
      <c r="AX26" s="10"/>
    </row>
    <row r="27" spans="2:50" ht="18.75">
      <c r="B27" s="2"/>
      <c r="C27" s="2"/>
      <c r="D27" s="2"/>
      <c r="E27" s="61"/>
      <c r="F27" s="62" t="s">
        <v>98</v>
      </c>
      <c r="G27" s="2"/>
      <c r="AC27" s="4"/>
      <c r="AG27" s="21"/>
      <c r="AO27" s="4"/>
      <c r="AP27" s="10"/>
      <c r="AQ27" s="19"/>
      <c r="AR27" s="10"/>
      <c r="AT27" s="10"/>
      <c r="AW27" s="4"/>
      <c r="AX27" s="10"/>
    </row>
    <row r="28" spans="2:50" ht="12.75">
      <c r="B28" s="27" t="s">
        <v>104</v>
      </c>
      <c r="D28" s="4" t="s">
        <v>105</v>
      </c>
      <c r="G28" s="27" t="s">
        <v>106</v>
      </c>
      <c r="J28" s="19" t="s">
        <v>107</v>
      </c>
      <c r="AC28" s="4"/>
      <c r="AG28" s="21"/>
      <c r="AH28" s="4" t="s">
        <v>30</v>
      </c>
      <c r="AI28" s="10">
        <f>SIN($AI$10)</f>
        <v>0.5038710255240861</v>
      </c>
      <c r="AL28" s="4" t="s">
        <v>41</v>
      </c>
      <c r="AM28" s="10">
        <f>SIN($AM$10)</f>
        <v>0.8637789008984335</v>
      </c>
      <c r="AO28" s="4"/>
      <c r="AP28" s="10"/>
      <c r="AQ28" s="4"/>
      <c r="AR28" s="10"/>
      <c r="AT28" s="10"/>
      <c r="AW28" s="20"/>
      <c r="AX28" s="25"/>
    </row>
    <row r="29" spans="1:50" ht="12.75">
      <c r="A29" s="63" t="s">
        <v>101</v>
      </c>
      <c r="B29" s="27">
        <f>$AI$33</f>
        <v>0.5038710255240864</v>
      </c>
      <c r="C29" s="63" t="s">
        <v>101</v>
      </c>
      <c r="D29" s="27">
        <f>COS($AI$15)</f>
        <v>6.1257422745431E-17</v>
      </c>
      <c r="F29" s="63" t="s">
        <v>101</v>
      </c>
      <c r="G29" s="27">
        <f>$AI$33</f>
        <v>0.5038710255240864</v>
      </c>
      <c r="I29" s="63" t="s">
        <v>101</v>
      </c>
      <c r="J29" s="27">
        <f>$AM$33</f>
        <v>0.8637789008984335</v>
      </c>
      <c r="AC29" s="4"/>
      <c r="AG29" s="21"/>
      <c r="AH29" s="4" t="s">
        <v>31</v>
      </c>
      <c r="AI29" s="10">
        <f>COS($AI$10)</f>
        <v>0.8637789008984335</v>
      </c>
      <c r="AL29" s="4" t="s">
        <v>42</v>
      </c>
      <c r="AM29" s="10">
        <f>COS($AM$10)</f>
        <v>0.5038710255240861</v>
      </c>
      <c r="AO29" s="4"/>
      <c r="AP29" s="10"/>
      <c r="AQ29" s="19"/>
      <c r="AR29" s="10"/>
      <c r="AT29" s="10"/>
      <c r="AW29" s="19"/>
      <c r="AX29" s="27"/>
    </row>
    <row r="30" spans="1:50" ht="12.75">
      <c r="A30" s="63" t="s">
        <v>102</v>
      </c>
      <c r="B30" s="10">
        <v>0</v>
      </c>
      <c r="C30" s="63" t="s">
        <v>102</v>
      </c>
      <c r="D30" s="27">
        <f>SIN($AI$15)</f>
        <v>1</v>
      </c>
      <c r="F30" s="63" t="s">
        <v>102</v>
      </c>
      <c r="G30" s="27">
        <f>$AI$32</f>
        <v>0.8637789008984333</v>
      </c>
      <c r="I30" s="63" t="s">
        <v>102</v>
      </c>
      <c r="J30" s="27">
        <f>$AM$32</f>
        <v>0.503871025524086</v>
      </c>
      <c r="AC30" s="4"/>
      <c r="AG30" s="21"/>
      <c r="AH30" s="4" t="s">
        <v>34</v>
      </c>
      <c r="AI30" s="10">
        <f>SIN($AI$12)</f>
        <v>0.7071067811865475</v>
      </c>
      <c r="AK30" s="21"/>
      <c r="AL30" s="4" t="s">
        <v>43</v>
      </c>
      <c r="AM30" s="10">
        <f>SIN($AM$12)</f>
        <v>0.7071067811865475</v>
      </c>
      <c r="AO30" s="4"/>
      <c r="AP30" s="10"/>
      <c r="AQ30" s="4"/>
      <c r="AR30" s="10"/>
      <c r="AT30" s="10"/>
      <c r="AW30" s="4"/>
      <c r="AX30" s="10"/>
    </row>
    <row r="31" spans="1:50" ht="12.75">
      <c r="A31" s="63" t="s">
        <v>103</v>
      </c>
      <c r="B31" s="10">
        <v>0</v>
      </c>
      <c r="C31" s="63" t="s">
        <v>103</v>
      </c>
      <c r="D31" s="10">
        <v>0</v>
      </c>
      <c r="F31" s="63" t="s">
        <v>103</v>
      </c>
      <c r="G31" s="27">
        <f>$AI$5*$AI$32</f>
        <v>0.5038710255240861</v>
      </c>
      <c r="I31" s="63" t="s">
        <v>103</v>
      </c>
      <c r="J31" s="27">
        <f>(-$AM$5*$AM$32)</f>
        <v>-0.8637789008984331</v>
      </c>
      <c r="AG31" s="21"/>
      <c r="AH31" s="4" t="s">
        <v>35</v>
      </c>
      <c r="AI31" s="10">
        <f>COS($AI$12)</f>
        <v>0.7071067811865476</v>
      </c>
      <c r="AK31" s="21"/>
      <c r="AL31" s="4" t="s">
        <v>44</v>
      </c>
      <c r="AM31" s="10">
        <f>COS($AM$12)</f>
        <v>0.7071067811865476</v>
      </c>
      <c r="AO31" s="4"/>
      <c r="AP31" s="10"/>
      <c r="AQ31" s="20"/>
      <c r="AR31" s="10"/>
      <c r="AT31" s="10"/>
      <c r="AW31" s="4"/>
      <c r="AX31" s="10"/>
    </row>
    <row r="32" spans="6:50" ht="15.75">
      <c r="F32" s="4" t="s">
        <v>108</v>
      </c>
      <c r="G32" s="10">
        <f>SQRT($AI$56*$AI$56+$AI$57*$AI$57+$AI$58*$AI$58)</f>
        <v>1.1197705168304326</v>
      </c>
      <c r="H32" s="5"/>
      <c r="I32" s="4" t="s">
        <v>108</v>
      </c>
      <c r="J32" s="10">
        <f>SQRT($AM$56*$AM$56+$AM$57*$AM$57+$AM$58*$AM$58)</f>
        <v>1.3214060653853927</v>
      </c>
      <c r="AG32" s="31"/>
      <c r="AH32" s="4" t="s">
        <v>32</v>
      </c>
      <c r="AI32" s="10">
        <f>SIN($AI$20)</f>
        <v>0.8637789008984333</v>
      </c>
      <c r="AL32" s="4" t="s">
        <v>45</v>
      </c>
      <c r="AM32" s="10">
        <f>SIN($AM$20)</f>
        <v>0.503871025524086</v>
      </c>
      <c r="AO32" s="4"/>
      <c r="AP32" s="10"/>
      <c r="AQ32" s="4"/>
      <c r="AR32" s="10"/>
      <c r="AT32" s="10"/>
      <c r="AW32" s="4"/>
      <c r="AX32" s="10"/>
    </row>
    <row r="33" spans="5:50" ht="15.75">
      <c r="E33" s="12"/>
      <c r="G33" s="5"/>
      <c r="AG33" s="31"/>
      <c r="AH33" s="4" t="s">
        <v>33</v>
      </c>
      <c r="AI33" s="10">
        <f>COS($AI$20)</f>
        <v>0.5038710255240864</v>
      </c>
      <c r="AL33" s="4" t="s">
        <v>47</v>
      </c>
      <c r="AM33" s="10">
        <f>COS($AM$20)</f>
        <v>0.8637789008984335</v>
      </c>
      <c r="AO33" s="4"/>
      <c r="AP33" s="10"/>
      <c r="AQ33" s="20"/>
      <c r="AR33" s="10"/>
      <c r="AT33" s="10"/>
      <c r="AW33" s="20"/>
      <c r="AX33" s="25"/>
    </row>
    <row r="34" spans="6:46" ht="18.75">
      <c r="F34" s="62" t="s">
        <v>100</v>
      </c>
      <c r="AG34" s="31"/>
      <c r="AH34" s="4" t="s">
        <v>36</v>
      </c>
      <c r="AI34" s="10">
        <f>SIN($AI$25)</f>
        <v>0.503871025524086</v>
      </c>
      <c r="AL34" s="4" t="s">
        <v>48</v>
      </c>
      <c r="AM34" s="10">
        <f>SIN($AM$25)</f>
        <v>0.8637789008984333</v>
      </c>
      <c r="AO34" s="4"/>
      <c r="AP34" s="10"/>
      <c r="AQ34" s="4"/>
      <c r="AR34" s="10"/>
      <c r="AT34" s="10"/>
    </row>
    <row r="35" spans="2:47" ht="12.75">
      <c r="B35" s="10" t="s">
        <v>109</v>
      </c>
      <c r="F35" s="10" t="s">
        <v>110</v>
      </c>
      <c r="J35" s="10" t="s">
        <v>111</v>
      </c>
      <c r="AG35" s="31"/>
      <c r="AH35" s="4" t="s">
        <v>37</v>
      </c>
      <c r="AI35" s="10">
        <f>COS($AI$25)</f>
        <v>0.8637789008984335</v>
      </c>
      <c r="AL35" s="4" t="s">
        <v>46</v>
      </c>
      <c r="AM35" s="10">
        <f>COS($AM$25)</f>
        <v>0.5038710255240864</v>
      </c>
      <c r="AO35" s="3"/>
      <c r="AP35" s="4"/>
      <c r="AQ35" s="10"/>
      <c r="AT35" s="4"/>
      <c r="AU35" s="10"/>
    </row>
    <row r="36" spans="1:47" ht="12.75">
      <c r="A36" s="10"/>
      <c r="B36" s="64">
        <v>1</v>
      </c>
      <c r="C36" s="64">
        <v>0</v>
      </c>
      <c r="D36" s="64">
        <v>0</v>
      </c>
      <c r="E36" s="10"/>
      <c r="F36" s="55">
        <v>1</v>
      </c>
      <c r="G36" s="55">
        <v>0</v>
      </c>
      <c r="H36" s="55">
        <v>0</v>
      </c>
      <c r="I36" s="10"/>
      <c r="J36" s="56">
        <v>1</v>
      </c>
      <c r="K36" s="56">
        <v>0</v>
      </c>
      <c r="L36" s="56">
        <v>0</v>
      </c>
      <c r="AO36" s="3"/>
      <c r="AQ36" s="4"/>
      <c r="AS36" s="10"/>
      <c r="AT36" s="4"/>
      <c r="AU36" s="10"/>
    </row>
    <row r="37" spans="1:47" ht="12.75">
      <c r="A37" s="9">
        <f>MDETERM($AJ$65:$AL$67)</f>
        <v>0</v>
      </c>
      <c r="B37" s="64">
        <f>$AI$52</f>
        <v>0.5038710255240864</v>
      </c>
      <c r="C37" s="64">
        <v>0</v>
      </c>
      <c r="D37" s="64">
        <v>0</v>
      </c>
      <c r="E37" s="9">
        <f>MDETERM($AJ$79:$AL$81)</f>
        <v>-0.8637789008984331</v>
      </c>
      <c r="F37" s="55">
        <f>$AM$52</f>
        <v>6.1257422745431E-17</v>
      </c>
      <c r="G37" s="55">
        <f>$AM$53</f>
        <v>1</v>
      </c>
      <c r="H37" s="55">
        <v>0</v>
      </c>
      <c r="I37" s="9">
        <f>MDETERM($AJ$93:$AL$95)</f>
        <v>-0.9999999999999996</v>
      </c>
      <c r="J37" s="56">
        <f>$AI$56</f>
        <v>0.5038710255240864</v>
      </c>
      <c r="K37" s="56">
        <f>$AI$57</f>
        <v>0.8637789008984333</v>
      </c>
      <c r="L37" s="56">
        <f>$AI$58</f>
        <v>0.5038710255240861</v>
      </c>
      <c r="AH37" s="4" t="s">
        <v>49</v>
      </c>
      <c r="AI37" s="10">
        <f>ACOS($AI$33*$AI$29/(SQRT($AI$33*$AI$33*$AI$29*$AI$29+$AI$32*$AI$32)))</f>
        <v>1.1040566949637056</v>
      </c>
      <c r="AL37" s="4" t="s">
        <v>59</v>
      </c>
      <c r="AM37" s="10">
        <f>ACOS($AM$33*$AM$29/(SQRT($AM$33*$AM$33*$AM$29*$AM$29+$AM$32*$AM$32)))</f>
        <v>0.8583570918121464</v>
      </c>
      <c r="AO37" s="3"/>
      <c r="AQ37" s="4"/>
      <c r="AR37" s="10"/>
      <c r="AS37" s="10"/>
      <c r="AT37" s="4"/>
      <c r="AU37" s="10"/>
    </row>
    <row r="38" spans="2:47" ht="12.75">
      <c r="B38" s="64">
        <f>$AM$56</f>
        <v>0.8637789008984335</v>
      </c>
      <c r="C38" s="64">
        <f>$AM$57</f>
        <v>0.503871025524086</v>
      </c>
      <c r="D38" s="64">
        <f>$AM$58</f>
        <v>-0.8637789008984331</v>
      </c>
      <c r="F38" s="55">
        <f>$AM$56</f>
        <v>0.8637789008984335</v>
      </c>
      <c r="G38" s="55">
        <f>$AM$57</f>
        <v>0.503871025524086</v>
      </c>
      <c r="H38" s="55">
        <f>$AM$58</f>
        <v>-0.8637789008984331</v>
      </c>
      <c r="J38" s="56">
        <f>$AM$56</f>
        <v>0.8637789008984335</v>
      </c>
      <c r="K38" s="56">
        <f>$AM$57</f>
        <v>0.503871025524086</v>
      </c>
      <c r="L38" s="56">
        <f>$AM$58</f>
        <v>-0.8637789008984331</v>
      </c>
      <c r="AH38" s="4" t="s">
        <v>49</v>
      </c>
      <c r="AI38" s="10">
        <f>DEGREES($AI$37)</f>
        <v>63.257788964582865</v>
      </c>
      <c r="AL38" s="4" t="s">
        <v>59</v>
      </c>
      <c r="AM38" s="10">
        <f>DEGREES($AM$37)</f>
        <v>49.180238675959295</v>
      </c>
      <c r="AQ38" s="4"/>
      <c r="AS38" s="10"/>
      <c r="AT38" s="4"/>
      <c r="AU38" s="10"/>
    </row>
    <row r="39" spans="33:47" ht="12.75">
      <c r="AG39" s="31"/>
      <c r="AH39" s="4" t="s">
        <v>58</v>
      </c>
      <c r="AI39" s="10">
        <f>ACOS($AI$35*$AI$31/(SQRT($AI$35*$AI$35*$AI$31*$AI$31+$AI$34*$AI$34)))</f>
        <v>0.6897750007854991</v>
      </c>
      <c r="AL39" s="4" t="s">
        <v>60</v>
      </c>
      <c r="AM39" s="10">
        <f>ACOS($AM$35*$AM$31/(SQRT($AM$35*$AM$35*$AM$31*$AM$31+$AM$34*$AM$34)))</f>
        <v>1.179578731987306</v>
      </c>
      <c r="AQ39" s="4"/>
      <c r="AR39" s="10"/>
      <c r="AS39" s="10"/>
      <c r="AT39" s="4"/>
      <c r="AU39" s="10"/>
    </row>
    <row r="40" spans="2:47" ht="12.75">
      <c r="B40" s="64">
        <v>0</v>
      </c>
      <c r="C40" s="64">
        <v>1</v>
      </c>
      <c r="D40" s="64">
        <v>0</v>
      </c>
      <c r="F40" s="55">
        <v>0</v>
      </c>
      <c r="G40" s="55">
        <v>1</v>
      </c>
      <c r="H40" s="55">
        <v>0</v>
      </c>
      <c r="J40" s="56">
        <v>0</v>
      </c>
      <c r="K40" s="56">
        <v>1</v>
      </c>
      <c r="L40" s="56">
        <v>0</v>
      </c>
      <c r="AH40" s="4" t="s">
        <v>58</v>
      </c>
      <c r="AI40" s="10">
        <f>DEGREES($AI$39)</f>
        <v>39.52119635864214</v>
      </c>
      <c r="AL40" s="4" t="s">
        <v>60</v>
      </c>
      <c r="AM40" s="10">
        <f>DEGREES($AM$39)</f>
        <v>67.5848829462659</v>
      </c>
      <c r="AQ40" s="20"/>
      <c r="AR40" s="10"/>
      <c r="AS40" s="10"/>
      <c r="AT40" s="4"/>
      <c r="AU40" s="10"/>
    </row>
    <row r="41" spans="1:47" ht="12.75">
      <c r="A41" s="9">
        <f>MDETERM($AJ$69:$AL$71)</f>
        <v>0.43523316062176165</v>
      </c>
      <c r="B41" s="64">
        <f>$AI$52</f>
        <v>0.5038710255240864</v>
      </c>
      <c r="C41" s="64">
        <v>0</v>
      </c>
      <c r="D41" s="64">
        <v>0</v>
      </c>
      <c r="E41" s="9">
        <f>MDETERM($AJ$83:$AL$85)</f>
        <v>5.2912869290919064E-17</v>
      </c>
      <c r="F41" s="55">
        <f>$AM$52</f>
        <v>6.1257422745431E-17</v>
      </c>
      <c r="G41" s="55">
        <f>$AM$53</f>
        <v>1</v>
      </c>
      <c r="H41" s="55">
        <v>0</v>
      </c>
      <c r="I41" s="9">
        <f>MDETERM($AJ$97:$AL$99)</f>
        <v>0.8704663212435233</v>
      </c>
      <c r="J41" s="56">
        <f>$AI$56</f>
        <v>0.5038710255240864</v>
      </c>
      <c r="K41" s="56">
        <f>$AI$57</f>
        <v>0.8637789008984333</v>
      </c>
      <c r="L41" s="56">
        <f>$AI$58</f>
        <v>0.5038710255240861</v>
      </c>
      <c r="AQ41" s="11"/>
      <c r="AR41" s="10"/>
      <c r="AS41" s="10"/>
      <c r="AT41" s="4"/>
      <c r="AU41" s="10"/>
    </row>
    <row r="42" spans="2:47" ht="12.75">
      <c r="B42" s="64">
        <f>$AM$56</f>
        <v>0.8637789008984335</v>
      </c>
      <c r="C42" s="64">
        <f>$AM$57</f>
        <v>0.503871025524086</v>
      </c>
      <c r="D42" s="64">
        <f>$AM$58</f>
        <v>-0.8637789008984331</v>
      </c>
      <c r="F42" s="55">
        <f>$AM$56</f>
        <v>0.8637789008984335</v>
      </c>
      <c r="G42" s="55">
        <f>$AM$57</f>
        <v>0.503871025524086</v>
      </c>
      <c r="H42" s="55">
        <f>$AM$58</f>
        <v>-0.8637789008984331</v>
      </c>
      <c r="J42" s="56">
        <f>$AM$56</f>
        <v>0.8637789008984335</v>
      </c>
      <c r="K42" s="56">
        <f>$AM$57</f>
        <v>0.503871025524086</v>
      </c>
      <c r="L42" s="56">
        <f>$AM$58</f>
        <v>-0.8637789008984331</v>
      </c>
      <c r="AH42" s="4" t="s">
        <v>61</v>
      </c>
      <c r="AI42" s="10">
        <f>ACOS($AI$32/(SQRT($AI$33*$AI$33*$AI$29*$AI$29+$AI$32*$AI$32)*SQRT($AI$28*$AI$28*$AI$33*$AI$33+$AI$32*$AI$32)))</f>
        <v>0.12723474162145543</v>
      </c>
      <c r="AL42" s="4" t="s">
        <v>65</v>
      </c>
      <c r="AM42" s="10">
        <f>ASIN($AM$33*$AM$29/(SQRT($AM$33*$AM$33*$AM$29*$AM$29+$AM$32*$AM$32)))</f>
        <v>0.7124392349827502</v>
      </c>
      <c r="AQ42" s="20"/>
      <c r="AR42" s="10"/>
      <c r="AS42" s="10"/>
      <c r="AT42" s="4"/>
      <c r="AU42" s="10"/>
    </row>
    <row r="43" spans="34:47" ht="12.75">
      <c r="AH43" s="4" t="s">
        <v>61</v>
      </c>
      <c r="AI43" s="10">
        <f>DEGREES($AI$42)</f>
        <v>7.290013702346909</v>
      </c>
      <c r="AL43" s="4" t="s">
        <v>65</v>
      </c>
      <c r="AM43" s="10">
        <f>DEGREES($AM$42)</f>
        <v>40.8197613240407</v>
      </c>
      <c r="AQ43" s="4"/>
      <c r="AR43" s="10"/>
      <c r="AS43" s="10"/>
      <c r="AT43" s="4"/>
      <c r="AU43" s="10"/>
    </row>
    <row r="44" spans="2:47" ht="12.75">
      <c r="B44" s="64">
        <v>0</v>
      </c>
      <c r="C44" s="64">
        <v>0</v>
      </c>
      <c r="D44" s="64">
        <v>1</v>
      </c>
      <c r="F44" s="55">
        <v>0</v>
      </c>
      <c r="G44" s="55">
        <v>0</v>
      </c>
      <c r="H44" s="55">
        <v>1</v>
      </c>
      <c r="J44" s="56">
        <v>0</v>
      </c>
      <c r="K44" s="56">
        <v>0</v>
      </c>
      <c r="L44" s="56">
        <v>1</v>
      </c>
      <c r="AH44" s="4" t="s">
        <v>62</v>
      </c>
      <c r="AI44" s="10">
        <f>ACOS(SQRT($AI$33*$AI$33*$AI$28*$AI$28+$AI$32*$AI$32))</f>
        <v>0.4502972364820461</v>
      </c>
      <c r="AL44" s="4" t="s">
        <v>66</v>
      </c>
      <c r="AM44" s="10">
        <f>ASIN($AM$35*$AM$31/(SQRT($AM$35*$AM$35*$AM$31*$AM$31+$AM$34*$AM$34)))</f>
        <v>0.3912175948075906</v>
      </c>
      <c r="AQ44" s="20"/>
      <c r="AR44" s="10"/>
      <c r="AS44" s="10"/>
      <c r="AT44" s="4"/>
      <c r="AU44" s="10"/>
    </row>
    <row r="45" spans="1:47" ht="12.75">
      <c r="A45" s="9">
        <f>MDETERM($AJ$73:$AL$75)</f>
        <v>0.2538860103626943</v>
      </c>
      <c r="B45" s="64">
        <f>$AI$52</f>
        <v>0.5038710255240864</v>
      </c>
      <c r="C45" s="64">
        <v>0</v>
      </c>
      <c r="D45" s="64">
        <v>0</v>
      </c>
      <c r="E45" s="9">
        <f>MDETERM($AJ$87:$AL$89)</f>
        <v>-0.8637789008984335</v>
      </c>
      <c r="F45" s="55">
        <f>$AM$52</f>
        <v>6.1257422745431E-17</v>
      </c>
      <c r="G45" s="55">
        <f>$AM$53</f>
        <v>1</v>
      </c>
      <c r="H45" s="55">
        <v>0</v>
      </c>
      <c r="I45" s="9">
        <f>MDETERM($AJ$101:$AL$103)</f>
        <v>-0.4922279792746113</v>
      </c>
      <c r="J45" s="56">
        <f>$AI$56</f>
        <v>0.5038710255240864</v>
      </c>
      <c r="K45" s="56">
        <f>$AI$57</f>
        <v>0.8637789008984333</v>
      </c>
      <c r="L45" s="56">
        <f>$AI$58</f>
        <v>0.5038710255240861</v>
      </c>
      <c r="AH45" s="4" t="s">
        <v>62</v>
      </c>
      <c r="AI45" s="10">
        <f>DEGREES($AI$44)</f>
        <v>25.800131176825605</v>
      </c>
      <c r="AL45" s="4" t="s">
        <v>66</v>
      </c>
      <c r="AM45" s="10">
        <f>DEGREES($AM$44)</f>
        <v>22.41511705373409</v>
      </c>
      <c r="AQ45" s="4"/>
      <c r="AR45" s="10"/>
      <c r="AS45" s="10"/>
      <c r="AT45" s="4"/>
      <c r="AU45" s="10"/>
    </row>
    <row r="46" spans="2:47" ht="12.75">
      <c r="B46" s="64">
        <f>$AM$56</f>
        <v>0.8637789008984335</v>
      </c>
      <c r="C46" s="64">
        <f>$AM$57</f>
        <v>0.503871025524086</v>
      </c>
      <c r="D46" s="64">
        <f>$AM$58</f>
        <v>-0.8637789008984331</v>
      </c>
      <c r="E46" s="10"/>
      <c r="F46" s="55">
        <f>$AM$56</f>
        <v>0.8637789008984335</v>
      </c>
      <c r="G46" s="55">
        <f>$AM$57</f>
        <v>0.503871025524086</v>
      </c>
      <c r="H46" s="55">
        <f>$AM$58</f>
        <v>-0.8637789008984331</v>
      </c>
      <c r="I46" s="10"/>
      <c r="J46" s="56">
        <f>$AM$56</f>
        <v>0.8637789008984335</v>
      </c>
      <c r="K46" s="56">
        <f>$AM$57</f>
        <v>0.503871025524086</v>
      </c>
      <c r="L46" s="56">
        <f>$AM$58</f>
        <v>-0.8637789008984331</v>
      </c>
      <c r="AH46" s="4"/>
      <c r="AI46" s="10"/>
      <c r="AQ46" s="20"/>
      <c r="AR46" s="10"/>
      <c r="AS46" s="10"/>
      <c r="AT46" s="4"/>
      <c r="AU46" s="10"/>
    </row>
    <row r="47" spans="2:47" ht="12.75">
      <c r="B47" s="4" t="s">
        <v>108</v>
      </c>
      <c r="C47" s="9">
        <f>SQRT($AI$66*$AI$66+$AI$70*$AI$70+$AI$74*$AI$74)</f>
        <v>0.5038710255240861</v>
      </c>
      <c r="F47" s="4" t="s">
        <v>108</v>
      </c>
      <c r="G47" s="9">
        <f>SQRT($AI$80*$AI$80+$AI$84*$AI$84+$AI$88*$AI$88)</f>
        <v>1.22156783654229</v>
      </c>
      <c r="J47" s="4" t="s">
        <v>108</v>
      </c>
      <c r="K47" s="9">
        <f>SQRT($AI$94*$AI$94+$AI$98*$AI$98+$AI$102*$AI$102)</f>
        <v>1.4142135623730947</v>
      </c>
      <c r="AH47" s="4" t="s">
        <v>63</v>
      </c>
      <c r="AI47" s="10">
        <f>ACOS($AI$34/(SQRT($AI$35*$AI$35*$AI$31*$AI$31+$AI$34*$AI$34)*SQRT($AI$30*$AI$30*$AI$35*$AI$35+$AI$34*$AI$34)))</f>
        <v>0.6373170631325152</v>
      </c>
      <c r="AL47" s="4" t="s">
        <v>67</v>
      </c>
      <c r="AM47" s="10">
        <f>ATAN(SIN($AM$37)/TAN($AI$37))</f>
        <v>0.36429496834035763</v>
      </c>
      <c r="AQ47" s="4"/>
      <c r="AR47" s="10"/>
      <c r="AS47" s="10"/>
      <c r="AT47" s="4"/>
      <c r="AU47" s="10"/>
    </row>
    <row r="48" spans="34:47" ht="12.75">
      <c r="AH48" s="4" t="s">
        <v>63</v>
      </c>
      <c r="AI48" s="10">
        <f>DEGREES($AI$47)</f>
        <v>36.51557792916576</v>
      </c>
      <c r="AL48" s="4" t="s">
        <v>67</v>
      </c>
      <c r="AM48" s="10">
        <f>DEGREES($AM$47)</f>
        <v>20.872564183754434</v>
      </c>
      <c r="AQ48" s="22"/>
      <c r="AR48" s="10"/>
      <c r="AS48" s="10"/>
      <c r="AT48" s="4"/>
      <c r="AU48" s="10"/>
    </row>
    <row r="49" spans="7:47" ht="18.75">
      <c r="G49" s="62" t="s">
        <v>99</v>
      </c>
      <c r="AH49" s="4" t="s">
        <v>64</v>
      </c>
      <c r="AI49" s="10">
        <f>ACOS(SQRT($AI$35*$AI$35*$AI$30*$AI$30+$AI$34*$AI$34))</f>
        <v>0.6570502624702143</v>
      </c>
      <c r="AL49" s="4" t="s">
        <v>68</v>
      </c>
      <c r="AM49" s="10">
        <f>ATAN(SIN($AM$39)/TAN($AI$39))</f>
        <v>0.8422063901141823</v>
      </c>
      <c r="AS49" s="10"/>
      <c r="AT49" s="4"/>
      <c r="AU49" s="10"/>
    </row>
    <row r="50" spans="3:47" ht="12.75">
      <c r="C50" s="4" t="s">
        <v>118</v>
      </c>
      <c r="D50" s="10">
        <f>ASIN($AM$33*$AM$29/(SQRT($AM$33*$AM$33*$AM$29*$AM$29+$AM$32*$AM$32)))</f>
        <v>0.7124392349827502</v>
      </c>
      <c r="G50" s="4" t="s">
        <v>114</v>
      </c>
      <c r="H50" s="10">
        <f>ASIN($AM$35*$AM$31/(SQRT($AM$35*$AM$35*$AM$31*$AM$31+$AM$34*$AM$34)))</f>
        <v>0.3912175948075906</v>
      </c>
      <c r="L50" s="4" t="s">
        <v>112</v>
      </c>
      <c r="M50" s="10">
        <f>ACOS(($AI$56*$AM$56+$AI$57*$AM$57+$AI$58*$AM$58)/($AI$60*$AM$60))</f>
        <v>1.272238920816987</v>
      </c>
      <c r="AH50" s="4" t="s">
        <v>64</v>
      </c>
      <c r="AI50" s="10">
        <f>DEGREES($AI$49)</f>
        <v>37.64620696750627</v>
      </c>
      <c r="AL50" s="4" t="s">
        <v>68</v>
      </c>
      <c r="AM50" s="10">
        <f>DEGREES($AM$49)</f>
        <v>48.25487163249119</v>
      </c>
      <c r="AR50" s="10"/>
      <c r="AS50" s="10"/>
      <c r="AT50" s="4"/>
      <c r="AU50" s="10"/>
    </row>
    <row r="51" spans="3:47" ht="12.75">
      <c r="C51" s="4" t="s">
        <v>118</v>
      </c>
      <c r="D51" s="10">
        <f>DEGREES($AM$42)</f>
        <v>40.8197613240407</v>
      </c>
      <c r="G51" s="4" t="s">
        <v>114</v>
      </c>
      <c r="H51" s="10">
        <f>DEGREES($AM$44)</f>
        <v>22.41511705373409</v>
      </c>
      <c r="L51" s="4" t="s">
        <v>112</v>
      </c>
      <c r="M51" s="10">
        <f>DEGREES($AL$120)</f>
        <v>72.8939206950919</v>
      </c>
      <c r="AQ51" s="4"/>
      <c r="AR51" s="10"/>
      <c r="AT51" s="4"/>
      <c r="AU51" s="10"/>
    </row>
    <row r="52" spans="3:47" ht="12.75">
      <c r="C52" s="4" t="s">
        <v>119</v>
      </c>
      <c r="D52" s="10">
        <f>ASIN(($AI$66*$AI$94+$AI$70*$AI$98+$AI$74*$AI$102)/($AJ$76*$AJ$104))</f>
        <v>0.3642949683403575</v>
      </c>
      <c r="G52" s="4" t="s">
        <v>115</v>
      </c>
      <c r="H52" s="10">
        <f>ASIN(($AI$80*$AI$94+$AI$84*$AI$98+$AI$88*$AI$102)/($AJ$90*$AJ$104))</f>
        <v>0.8422063901141819</v>
      </c>
      <c r="L52" s="4" t="s">
        <v>113</v>
      </c>
      <c r="M52" s="10">
        <f>ACOS(-($AI$56*$AM$56+$AI$57*$AM$57+$AI$58*$AM$58)/($AI$60*$AM$60))</f>
        <v>1.869353732772806</v>
      </c>
      <c r="AH52" s="4" t="s">
        <v>69</v>
      </c>
      <c r="AI52" s="27">
        <f>$AI$33</f>
        <v>0.5038710255240864</v>
      </c>
      <c r="AL52" s="4" t="s">
        <v>72</v>
      </c>
      <c r="AM52" s="27">
        <f>COS($AI$15)</f>
        <v>6.1257422745431E-17</v>
      </c>
      <c r="AQ52" s="4"/>
      <c r="AR52" s="10"/>
      <c r="AT52" s="4"/>
      <c r="AU52" s="10"/>
    </row>
    <row r="53" spans="3:47" ht="12.75">
      <c r="C53" s="4" t="s">
        <v>119</v>
      </c>
      <c r="D53" s="10">
        <f>DEGREES($AL$110)</f>
        <v>20.87256418375443</v>
      </c>
      <c r="G53" s="4" t="s">
        <v>115</v>
      </c>
      <c r="H53" s="10">
        <f>DEGREES($AL$117)</f>
        <v>48.25487163249116</v>
      </c>
      <c r="L53" s="4" t="s">
        <v>113</v>
      </c>
      <c r="M53" s="10">
        <f>DEGREES($AL$122)</f>
        <v>107.1060793049081</v>
      </c>
      <c r="AH53" s="4" t="s">
        <v>70</v>
      </c>
      <c r="AI53" s="10">
        <v>0</v>
      </c>
      <c r="AL53" s="4" t="s">
        <v>73</v>
      </c>
      <c r="AM53" s="27">
        <f>SIN($AI$15)</f>
        <v>1</v>
      </c>
      <c r="AQ53" s="15"/>
      <c r="AR53" s="10"/>
      <c r="AT53" s="4"/>
      <c r="AU53" s="10"/>
    </row>
    <row r="54" spans="34:47" ht="12.75">
      <c r="AH54" s="4" t="s">
        <v>71</v>
      </c>
      <c r="AI54" s="10">
        <v>0</v>
      </c>
      <c r="AL54" s="4" t="s">
        <v>74</v>
      </c>
      <c r="AM54" s="10">
        <v>0</v>
      </c>
      <c r="AQ54" s="15"/>
      <c r="AR54" s="10"/>
      <c r="AT54" s="4"/>
      <c r="AU54" s="10"/>
    </row>
    <row r="55" spans="5:47" ht="12.75">
      <c r="E55" s="4" t="s">
        <v>120</v>
      </c>
      <c r="F55" s="10">
        <f>ACOS($AI$32/(SQRT($AI$33*$AI$33*$AI$29*$AI$29+$AI$32*$AI$32)*SQRT($AI$28*$AI$28*$AI$33*$AI$33+$AI$32*$AI$32)))</f>
        <v>0.12723474162145543</v>
      </c>
      <c r="I55" s="4" t="s">
        <v>116</v>
      </c>
      <c r="J55" s="10">
        <f>ACOS($AI$34/(SQRT($AI$35*$AI$35*$AI$31*$AI$31+$AI$34*$AI$34)*SQRT($AI$30*$AI$30*$AI$35*$AI$35+$AI$34*$AI$34)))</f>
        <v>0.6373170631325152</v>
      </c>
      <c r="AQ55" s="4"/>
      <c r="AR55" s="10"/>
      <c r="AT55" s="4"/>
      <c r="AU55" s="10"/>
    </row>
    <row r="56" spans="5:47" ht="12.75">
      <c r="E56" s="4" t="s">
        <v>120</v>
      </c>
      <c r="F56" s="10">
        <f>DEGREES($AI$42)</f>
        <v>7.290013702346909</v>
      </c>
      <c r="I56" s="4" t="s">
        <v>116</v>
      </c>
      <c r="J56" s="10">
        <f>DEGREES($AI$47)</f>
        <v>36.51557792916576</v>
      </c>
      <c r="AH56" s="53" t="s">
        <v>50</v>
      </c>
      <c r="AI56" s="31">
        <f>$AI$33</f>
        <v>0.5038710255240864</v>
      </c>
      <c r="AL56" s="50" t="s">
        <v>53</v>
      </c>
      <c r="AM56" s="49">
        <f>$AM$33</f>
        <v>0.8637789008984335</v>
      </c>
      <c r="AQ56" s="4"/>
      <c r="AR56" s="10"/>
      <c r="AT56" s="4"/>
      <c r="AU56" s="10"/>
    </row>
    <row r="57" spans="5:47" ht="12.75">
      <c r="E57" s="4" t="s">
        <v>121</v>
      </c>
      <c r="F57" s="10">
        <f>ACOS(SQRT($AI$33*$AI$33*$AI$28*$AI$28+$AI$32*$AI$32))</f>
        <v>0.4502972364820461</v>
      </c>
      <c r="I57" s="4" t="s">
        <v>117</v>
      </c>
      <c r="J57" s="10">
        <f>ACOS(SQRT($AI$35*$AI$35*$AI$30*$AI$30+$AI$34*$AI$34))</f>
        <v>0.6570502624702143</v>
      </c>
      <c r="AH57" s="53" t="s">
        <v>51</v>
      </c>
      <c r="AI57" s="31">
        <f>$AI$32</f>
        <v>0.8637789008984333</v>
      </c>
      <c r="AL57" s="50" t="s">
        <v>54</v>
      </c>
      <c r="AM57" s="49">
        <f>$AM$32</f>
        <v>0.503871025524086</v>
      </c>
      <c r="AP57" s="4"/>
      <c r="AQ57" s="10"/>
      <c r="AT57" s="4"/>
      <c r="AU57" s="10"/>
    </row>
    <row r="58" spans="5:47" ht="12.75">
      <c r="E58" s="4" t="s">
        <v>121</v>
      </c>
      <c r="F58" s="10">
        <f>DEGREES($AI$44)</f>
        <v>25.800131176825605</v>
      </c>
      <c r="I58" s="4" t="s">
        <v>117</v>
      </c>
      <c r="J58" s="10">
        <f>DEGREES($AI$49)</f>
        <v>37.64620696750627</v>
      </c>
      <c r="AH58" s="53" t="s">
        <v>52</v>
      </c>
      <c r="AI58" s="30">
        <f>$AI$5*$AI$32</f>
        <v>0.5038710255240861</v>
      </c>
      <c r="AL58" s="50" t="s">
        <v>55</v>
      </c>
      <c r="AM58" s="49">
        <f>(-$AM$5*$AM$32)</f>
        <v>-0.8637789008984331</v>
      </c>
      <c r="AP58" s="4"/>
      <c r="AQ58" s="10"/>
      <c r="AT58" s="4"/>
      <c r="AU58" s="10"/>
    </row>
    <row r="59" spans="34:39" ht="12.75">
      <c r="AH59" s="19" t="s">
        <v>52</v>
      </c>
      <c r="AI59" s="27">
        <f>$AI$6*$AI$34</f>
        <v>0.503871025524086</v>
      </c>
      <c r="AL59" s="4" t="s">
        <v>55</v>
      </c>
      <c r="AM59" s="27">
        <f>(-$AM$6*$AM$34)</f>
        <v>-0.8637789008984333</v>
      </c>
    </row>
    <row r="60" spans="3:39" ht="12.75">
      <c r="C60" s="4" t="s">
        <v>124</v>
      </c>
      <c r="D60" s="10">
        <f>ACOS($AI$33*$AI$29/(SQRT($AI$33*$AI$33*$AI$29*$AI$29+$AI$32*$AI$32)))</f>
        <v>1.1040566949637056</v>
      </c>
      <c r="H60" s="4" t="s">
        <v>122</v>
      </c>
      <c r="I60" s="10">
        <f>ACOS($AM$33*$AM$29/(SQRT($AM$33*$AM$33*$AM$29*$AM$29+$AM$32*$AM$32)))</f>
        <v>0.8583570918121464</v>
      </c>
      <c r="L60" s="4" t="s">
        <v>119</v>
      </c>
      <c r="M60" s="10">
        <f>ATAN(SIN($AM$37)/TAN($AI$37))</f>
        <v>0.36429496834035763</v>
      </c>
      <c r="AH60" s="4" t="s">
        <v>56</v>
      </c>
      <c r="AI60" s="10">
        <f>SQRT($AI$56*$AI$56+$AI$57*$AI$57+$AI$58*$AI$58)</f>
        <v>1.1197705168304326</v>
      </c>
      <c r="AK60" s="31"/>
      <c r="AL60" s="4" t="s">
        <v>57</v>
      </c>
      <c r="AM60" s="10">
        <f>SQRT($AM$56*$AM$56+$AM$57*$AM$57+$AM$58*$AM$58)</f>
        <v>1.3214060653853927</v>
      </c>
    </row>
    <row r="61" spans="3:13" ht="12.75">
      <c r="C61" s="4" t="s">
        <v>124</v>
      </c>
      <c r="D61" s="66">
        <f>DEGREES($AI$37)</f>
        <v>63.257788964582865</v>
      </c>
      <c r="H61" s="4" t="s">
        <v>122</v>
      </c>
      <c r="I61" s="66">
        <f>DEGREES($AM$37)</f>
        <v>49.180238675959295</v>
      </c>
      <c r="L61" s="4" t="s">
        <v>119</v>
      </c>
      <c r="M61" s="66">
        <f>DEGREES($AM$47)</f>
        <v>20.872564183754434</v>
      </c>
    </row>
    <row r="62" spans="3:13" ht="12.75">
      <c r="C62" s="4" t="s">
        <v>125</v>
      </c>
      <c r="D62" s="10">
        <f>ACOS($AI$35*$AI$31/(SQRT($AI$35*$AI$35*$AI$31*$AI$31+$AI$34*$AI$34)))</f>
        <v>0.6897750007854991</v>
      </c>
      <c r="H62" s="4" t="s">
        <v>123</v>
      </c>
      <c r="I62" s="10">
        <f>ACOS($AM$35*$AM$31/(SQRT($AM$35*$AM$35*$AM$31*$AM$31+$AM$34*$AM$34)))</f>
        <v>1.179578731987306</v>
      </c>
      <c r="L62" s="4" t="s">
        <v>115</v>
      </c>
      <c r="M62" s="10">
        <f>ATAN(SIN($AM$39)/TAN($AI$39))</f>
        <v>0.8422063901141823</v>
      </c>
    </row>
    <row r="63" spans="3:13" ht="12.75">
      <c r="C63" s="4" t="s">
        <v>125</v>
      </c>
      <c r="D63" s="25">
        <f>DEGREES($AI$39)</f>
        <v>39.52119635864214</v>
      </c>
      <c r="H63" s="4" t="s">
        <v>123</v>
      </c>
      <c r="I63" s="25">
        <f>DEGREES($AM$39)</f>
        <v>67.5848829462659</v>
      </c>
      <c r="L63" s="4" t="s">
        <v>115</v>
      </c>
      <c r="M63" s="25">
        <f>DEGREES($AM$49)</f>
        <v>48.25487163249119</v>
      </c>
    </row>
    <row r="64" ht="12.75">
      <c r="AK64" s="4" t="s">
        <v>75</v>
      </c>
    </row>
    <row r="65" spans="6:38" ht="12.75">
      <c r="F65" s="4"/>
      <c r="AH65" s="4"/>
      <c r="AI65" s="10"/>
      <c r="AJ65" s="54">
        <v>1</v>
      </c>
      <c r="AK65" s="54">
        <v>0</v>
      </c>
      <c r="AL65" s="54">
        <v>0</v>
      </c>
    </row>
    <row r="66" spans="5:38" ht="15">
      <c r="E66" s="12"/>
      <c r="F66" s="4"/>
      <c r="AH66" s="44" t="s">
        <v>77</v>
      </c>
      <c r="AI66" s="9">
        <f>MDETERM($AJ$65:$AL$67)</f>
        <v>0</v>
      </c>
      <c r="AJ66" s="54">
        <f>$AI$52</f>
        <v>0.5038710255240864</v>
      </c>
      <c r="AK66" s="54">
        <v>0</v>
      </c>
      <c r="AL66" s="54">
        <v>0</v>
      </c>
    </row>
    <row r="67" spans="34:38" ht="12.75">
      <c r="AH67" s="4"/>
      <c r="AJ67" s="54">
        <f>$AM$56</f>
        <v>0.8637789008984335</v>
      </c>
      <c r="AK67" s="54">
        <f>$AM$57</f>
        <v>0.503871025524086</v>
      </c>
      <c r="AL67" s="54">
        <f>$AM$58</f>
        <v>-0.8637789008984331</v>
      </c>
    </row>
    <row r="68" spans="5:8" ht="15.75">
      <c r="E68" s="37"/>
      <c r="F68" s="12"/>
      <c r="G68" s="2"/>
      <c r="H68" s="12"/>
    </row>
    <row r="69" spans="5:38" ht="15.75">
      <c r="E69" s="37"/>
      <c r="AJ69" s="54">
        <v>0</v>
      </c>
      <c r="AK69" s="54">
        <v>1</v>
      </c>
      <c r="AL69" s="54">
        <v>0</v>
      </c>
    </row>
    <row r="70" spans="5:38" ht="15.75">
      <c r="E70" s="12"/>
      <c r="F70" s="1"/>
      <c r="G70" s="5"/>
      <c r="H70" s="5"/>
      <c r="AH70" s="44" t="s">
        <v>78</v>
      </c>
      <c r="AI70" s="9">
        <f>MDETERM($AJ$69:$AL$71)</f>
        <v>0.43523316062176165</v>
      </c>
      <c r="AJ70" s="54">
        <f>$AI$52</f>
        <v>0.5038710255240864</v>
      </c>
      <c r="AK70" s="54">
        <v>0</v>
      </c>
      <c r="AL70" s="54">
        <v>0</v>
      </c>
    </row>
    <row r="71" spans="5:38" ht="15.75">
      <c r="E71" s="12"/>
      <c r="F71" s="1"/>
      <c r="G71" s="5"/>
      <c r="H71" s="5"/>
      <c r="AH71" s="4"/>
      <c r="AJ71" s="54">
        <f>$AM$56</f>
        <v>0.8637789008984335</v>
      </c>
      <c r="AK71" s="54">
        <f>$AM$57</f>
        <v>0.503871025524086</v>
      </c>
      <c r="AL71" s="54">
        <f>$AM$58</f>
        <v>-0.8637789008984331</v>
      </c>
    </row>
    <row r="73" spans="5:38" ht="12.75">
      <c r="E73" s="38"/>
      <c r="AH73" s="4"/>
      <c r="AJ73" s="54">
        <v>0</v>
      </c>
      <c r="AK73" s="54">
        <v>0</v>
      </c>
      <c r="AL73" s="54">
        <v>1</v>
      </c>
    </row>
    <row r="74" spans="5:38" ht="12.75">
      <c r="E74" s="38"/>
      <c r="AH74" s="44" t="s">
        <v>79</v>
      </c>
      <c r="AI74" s="9">
        <f>MDETERM($AJ$73:$AL$75)</f>
        <v>0.2538860103626943</v>
      </c>
      <c r="AJ74" s="54">
        <f>$AI$52</f>
        <v>0.5038710255240864</v>
      </c>
      <c r="AK74" s="54">
        <v>0</v>
      </c>
      <c r="AL74" s="54">
        <v>0</v>
      </c>
    </row>
    <row r="75" spans="5:38" ht="15.75">
      <c r="E75" s="37"/>
      <c r="F75" s="12"/>
      <c r="G75" s="2"/>
      <c r="H75" s="12"/>
      <c r="AH75" s="4"/>
      <c r="AJ75" s="54">
        <f>$AM$56</f>
        <v>0.8637789008984335</v>
      </c>
      <c r="AK75" s="54">
        <f>$AM$57</f>
        <v>0.503871025524086</v>
      </c>
      <c r="AL75" s="54">
        <f>$AM$58</f>
        <v>-0.8637789008984331</v>
      </c>
    </row>
    <row r="76" spans="5:44" ht="15.75">
      <c r="E76" s="12"/>
      <c r="F76" s="1"/>
      <c r="G76" s="5"/>
      <c r="H76" s="5"/>
      <c r="AH76" s="4"/>
      <c r="AI76" s="4" t="s">
        <v>82</v>
      </c>
      <c r="AJ76" s="9">
        <f>SQRT($AI$66*$AI$66+$AI$70*$AI$70+$AI$74*$AI$74)</f>
        <v>0.5038710255240861</v>
      </c>
      <c r="AP76" s="4"/>
      <c r="AR76" s="10"/>
    </row>
    <row r="77" spans="5:8" ht="15.75">
      <c r="E77" s="12"/>
      <c r="F77" s="1"/>
      <c r="G77" s="5"/>
      <c r="H77" s="5"/>
    </row>
    <row r="78" spans="34:37" ht="12.75">
      <c r="AH78" s="4"/>
      <c r="AK78" s="4" t="s">
        <v>76</v>
      </c>
    </row>
    <row r="79" spans="5:38" ht="15.75">
      <c r="E79" s="37"/>
      <c r="AH79" s="4"/>
      <c r="AI79" s="10"/>
      <c r="AJ79" s="55">
        <v>1</v>
      </c>
      <c r="AK79" s="55">
        <v>0</v>
      </c>
      <c r="AL79" s="55">
        <v>0</v>
      </c>
    </row>
    <row r="80" spans="7:38" ht="15.75">
      <c r="G80" s="36"/>
      <c r="H80" s="37"/>
      <c r="O80" s="46"/>
      <c r="AH80" s="44" t="s">
        <v>77</v>
      </c>
      <c r="AI80" s="9">
        <f>MDETERM($AJ$79:$AL$81)</f>
        <v>-0.8637789008984331</v>
      </c>
      <c r="AJ80" s="55">
        <f>$AM$52</f>
        <v>6.1257422745431E-17</v>
      </c>
      <c r="AK80" s="55">
        <f>$AM$53</f>
        <v>1</v>
      </c>
      <c r="AL80" s="55">
        <v>0</v>
      </c>
    </row>
    <row r="81" spans="13:38" ht="15.75">
      <c r="M81" s="34"/>
      <c r="N81" s="21"/>
      <c r="O81" s="21"/>
      <c r="P81" s="21"/>
      <c r="Q81" s="21"/>
      <c r="AH81" s="4"/>
      <c r="AJ81" s="55">
        <f>$AM$56</f>
        <v>0.8637789008984335</v>
      </c>
      <c r="AK81" s="55">
        <f>$AM$57</f>
        <v>0.503871025524086</v>
      </c>
      <c r="AL81" s="55">
        <f>$AM$58</f>
        <v>-0.8637789008984331</v>
      </c>
    </row>
    <row r="82" ht="15.75">
      <c r="E82" s="34"/>
    </row>
    <row r="83" spans="5:38" ht="15.75">
      <c r="E83" s="48"/>
      <c r="M83" s="28"/>
      <c r="N83" s="21"/>
      <c r="O83" s="21"/>
      <c r="AJ83" s="55">
        <v>0</v>
      </c>
      <c r="AK83" s="55">
        <v>1</v>
      </c>
      <c r="AL83" s="55">
        <v>0</v>
      </c>
    </row>
    <row r="84" spans="5:38" ht="15.75">
      <c r="E84" s="41"/>
      <c r="F84" s="40"/>
      <c r="G84" s="5"/>
      <c r="H84" s="40"/>
      <c r="I84" s="39"/>
      <c r="O84" s="4"/>
      <c r="P84" s="10"/>
      <c r="Q84" s="30"/>
      <c r="AH84" s="44" t="s">
        <v>78</v>
      </c>
      <c r="AI84" s="9">
        <f>MDETERM($AJ$83:$AL$85)</f>
        <v>5.2912869290919064E-17</v>
      </c>
      <c r="AJ84" s="55">
        <f>$AM$52</f>
        <v>6.1257422745431E-17</v>
      </c>
      <c r="AK84" s="55">
        <f>$AM$53</f>
        <v>1</v>
      </c>
      <c r="AL84" s="55">
        <v>0</v>
      </c>
    </row>
    <row r="85" spans="5:38" ht="15.75">
      <c r="E85" s="48"/>
      <c r="O85" s="4"/>
      <c r="P85" s="10"/>
      <c r="Q85" s="30"/>
      <c r="AH85" s="4"/>
      <c r="AJ85" s="55">
        <f>$AM$56</f>
        <v>0.8637789008984335</v>
      </c>
      <c r="AK85" s="55">
        <f>$AM$57</f>
        <v>0.503871025524086</v>
      </c>
      <c r="AL85" s="55">
        <f>$AM$58</f>
        <v>-0.8637789008984331</v>
      </c>
    </row>
    <row r="86" spans="5:34" ht="15.75">
      <c r="E86" s="41"/>
      <c r="F86" s="40"/>
      <c r="G86" s="40"/>
      <c r="H86" s="40"/>
      <c r="I86" s="39"/>
      <c r="O86" s="4"/>
      <c r="P86" s="10"/>
      <c r="Q86" s="31"/>
      <c r="AH86" s="4"/>
    </row>
    <row r="87" spans="5:38" ht="15.75">
      <c r="E87" s="34"/>
      <c r="M87" s="28"/>
      <c r="Q87" s="21"/>
      <c r="AH87" s="4"/>
      <c r="AJ87" s="55">
        <v>0</v>
      </c>
      <c r="AK87" s="55">
        <v>0</v>
      </c>
      <c r="AL87" s="55">
        <v>1</v>
      </c>
    </row>
    <row r="88" spans="5:38" ht="12.75">
      <c r="E88" s="47"/>
      <c r="O88" s="4"/>
      <c r="P88" s="10"/>
      <c r="Q88" s="30"/>
      <c r="AH88" s="44" t="s">
        <v>79</v>
      </c>
      <c r="AI88" s="9">
        <f>MDETERM($AJ$87:$AL$89)</f>
        <v>-0.8637789008984335</v>
      </c>
      <c r="AJ88" s="55">
        <f>$AM$52</f>
        <v>6.1257422745431E-17</v>
      </c>
      <c r="AK88" s="55">
        <f>$AM$53</f>
        <v>1</v>
      </c>
      <c r="AL88" s="55">
        <v>0</v>
      </c>
    </row>
    <row r="89" spans="5:38" ht="15.75">
      <c r="E89" s="48"/>
      <c r="H89" s="5"/>
      <c r="I89" s="10"/>
      <c r="Q89" s="21"/>
      <c r="AH89" s="4"/>
      <c r="AI89" s="10"/>
      <c r="AJ89" s="55">
        <f>$AM$56</f>
        <v>0.8637789008984335</v>
      </c>
      <c r="AK89" s="55">
        <f>$AM$57</f>
        <v>0.503871025524086</v>
      </c>
      <c r="AL89" s="55">
        <f>$AM$58</f>
        <v>-0.8637789008984331</v>
      </c>
    </row>
    <row r="90" spans="5:36" ht="15.75">
      <c r="E90" s="48"/>
      <c r="H90" s="5"/>
      <c r="I90" s="10"/>
      <c r="M90" s="28"/>
      <c r="N90" s="21"/>
      <c r="O90" s="21"/>
      <c r="Q90" s="21"/>
      <c r="AI90" s="4" t="s">
        <v>82</v>
      </c>
      <c r="AJ90" s="9">
        <f>SQRT($AI$80*$AI$80+$AI$84*$AI$84+$AI$88*$AI$88)</f>
        <v>1.22156783654229</v>
      </c>
    </row>
    <row r="91" spans="5:17" ht="15.75">
      <c r="E91" s="48"/>
      <c r="H91" s="5"/>
      <c r="I91" s="10"/>
      <c r="O91" s="4"/>
      <c r="P91" s="10"/>
      <c r="Q91" s="30"/>
    </row>
    <row r="92" spans="5:42" ht="12.75">
      <c r="E92" s="47"/>
      <c r="I92" s="10"/>
      <c r="O92" s="4"/>
      <c r="P92" s="10"/>
      <c r="Q92" s="30"/>
      <c r="AH92" s="4"/>
      <c r="AK92" s="4" t="s">
        <v>80</v>
      </c>
      <c r="AO92"/>
      <c r="AP92" s="4" t="s">
        <v>126</v>
      </c>
    </row>
    <row r="93" spans="5:43" ht="15.75">
      <c r="E93" s="48"/>
      <c r="H93" s="5"/>
      <c r="I93" s="10"/>
      <c r="O93" s="4"/>
      <c r="P93" s="10"/>
      <c r="Q93" s="31"/>
      <c r="AH93" s="4"/>
      <c r="AI93" s="10"/>
      <c r="AJ93" s="56">
        <v>1</v>
      </c>
      <c r="AK93" s="56">
        <v>0</v>
      </c>
      <c r="AL93" s="56">
        <v>0</v>
      </c>
      <c r="AN93" s="10"/>
      <c r="AO93" s="56">
        <v>1</v>
      </c>
      <c r="AP93" s="56">
        <v>0</v>
      </c>
      <c r="AQ93" s="56">
        <v>0</v>
      </c>
    </row>
    <row r="94" spans="5:43" ht="15.75">
      <c r="E94" s="48"/>
      <c r="H94" s="5"/>
      <c r="I94" s="10"/>
      <c r="M94" s="28"/>
      <c r="Q94" s="21"/>
      <c r="AH94" s="44" t="s">
        <v>77</v>
      </c>
      <c r="AI94" s="9">
        <f>MDETERM($AJ$93:$AL$95)</f>
        <v>-0.9999999999999996</v>
      </c>
      <c r="AJ94" s="56">
        <f>$AI$56</f>
        <v>0.5038710255240864</v>
      </c>
      <c r="AK94" s="56">
        <f>$AI$57</f>
        <v>0.8637789008984333</v>
      </c>
      <c r="AL94" s="56">
        <f>$AI$58</f>
        <v>0.5038710255240861</v>
      </c>
      <c r="AN94" s="9">
        <f>MDETERM($AO$93:$AQ$95)</f>
        <v>0.9999999999999996</v>
      </c>
      <c r="AO94" s="56">
        <f>$AM$56</f>
        <v>0.8637789008984335</v>
      </c>
      <c r="AP94" s="56">
        <f>$AM$57</f>
        <v>0.503871025524086</v>
      </c>
      <c r="AQ94" s="56">
        <f>$AM$58</f>
        <v>-0.8637789008984331</v>
      </c>
    </row>
    <row r="95" spans="15:43" ht="12.75">
      <c r="O95" s="4"/>
      <c r="P95" s="10"/>
      <c r="Q95" s="30"/>
      <c r="AH95" s="4"/>
      <c r="AJ95" s="56">
        <f>$AM$56</f>
        <v>0.8637789008984335</v>
      </c>
      <c r="AK95" s="56">
        <f>$AM$57</f>
        <v>0.503871025524086</v>
      </c>
      <c r="AL95" s="56">
        <f>$AM$58</f>
        <v>-0.8637789008984331</v>
      </c>
      <c r="AO95" s="56">
        <f>$AI$56</f>
        <v>0.5038710255240864</v>
      </c>
      <c r="AP95" s="56">
        <f>$AI$57</f>
        <v>0.8637789008984333</v>
      </c>
      <c r="AQ95" s="56">
        <f>$AI$58</f>
        <v>0.5038710255240861</v>
      </c>
    </row>
    <row r="96" spans="15:41" ht="12.75">
      <c r="O96" s="4"/>
      <c r="P96" s="10"/>
      <c r="Q96" s="30"/>
      <c r="AO96"/>
    </row>
    <row r="97" spans="36:43" ht="12.75">
      <c r="AJ97" s="56">
        <v>0</v>
      </c>
      <c r="AK97" s="56">
        <v>1</v>
      </c>
      <c r="AL97" s="56">
        <v>0</v>
      </c>
      <c r="AO97" s="56">
        <v>0</v>
      </c>
      <c r="AP97" s="56">
        <v>1</v>
      </c>
      <c r="AQ97" s="56">
        <v>0</v>
      </c>
    </row>
    <row r="98" spans="13:43" ht="15.75">
      <c r="M98" s="34"/>
      <c r="N98" s="10"/>
      <c r="AH98" s="44" t="s">
        <v>78</v>
      </c>
      <c r="AI98" s="9">
        <f>MDETERM($AJ$97:$AL$99)</f>
        <v>0.8704663212435233</v>
      </c>
      <c r="AJ98" s="56">
        <f>$AI$56</f>
        <v>0.5038710255240864</v>
      </c>
      <c r="AK98" s="56">
        <f>$AI$57</f>
        <v>0.8637789008984333</v>
      </c>
      <c r="AL98" s="56">
        <f>$AI$58</f>
        <v>0.5038710255240861</v>
      </c>
      <c r="AN98" s="9">
        <f>MDETERM($AO$97:$AQ$99)</f>
        <v>-0.8704663212435233</v>
      </c>
      <c r="AO98" s="56">
        <f>$AM$56</f>
        <v>0.8637789008984335</v>
      </c>
      <c r="AP98" s="56">
        <f>$AM$57</f>
        <v>0.503871025524086</v>
      </c>
      <c r="AQ98" s="56">
        <f>$AM$58</f>
        <v>-0.8637789008984331</v>
      </c>
    </row>
    <row r="99" spans="34:43" ht="12.75">
      <c r="AH99" s="4"/>
      <c r="AJ99" s="56">
        <f>$AM$56</f>
        <v>0.8637789008984335</v>
      </c>
      <c r="AK99" s="56">
        <f>$AM$57</f>
        <v>0.503871025524086</v>
      </c>
      <c r="AL99" s="56">
        <f>$AM$58</f>
        <v>-0.8637789008984331</v>
      </c>
      <c r="AO99" s="56">
        <f>$AI$56</f>
        <v>0.5038710255240864</v>
      </c>
      <c r="AP99" s="56">
        <f>$AI$57</f>
        <v>0.8637789008984333</v>
      </c>
      <c r="AQ99" s="56">
        <f>$AI$58</f>
        <v>0.5038710255240861</v>
      </c>
    </row>
    <row r="100" spans="13:41" ht="12.75">
      <c r="M100" s="25"/>
      <c r="O100" s="4"/>
      <c r="AH100" s="4"/>
      <c r="AO100"/>
    </row>
    <row r="101" spans="15:43" ht="12.75">
      <c r="O101" s="4"/>
      <c r="P101" s="10"/>
      <c r="Q101" s="30"/>
      <c r="AH101" s="4"/>
      <c r="AJ101" s="56">
        <v>0</v>
      </c>
      <c r="AK101" s="56">
        <v>0</v>
      </c>
      <c r="AL101" s="56">
        <v>1</v>
      </c>
      <c r="AO101" s="56">
        <v>0</v>
      </c>
      <c r="AP101" s="56">
        <v>0</v>
      </c>
      <c r="AQ101" s="56">
        <v>1</v>
      </c>
    </row>
    <row r="102" spans="15:43" ht="12.75">
      <c r="O102" s="4"/>
      <c r="P102" s="10"/>
      <c r="Q102" s="30"/>
      <c r="AH102" s="44" t="s">
        <v>79</v>
      </c>
      <c r="AI102" s="9">
        <f>MDETERM($AJ$101:$AL$103)</f>
        <v>-0.4922279792746113</v>
      </c>
      <c r="AJ102" s="56">
        <f>$AI$56</f>
        <v>0.5038710255240864</v>
      </c>
      <c r="AK102" s="56">
        <f>$AI$57</f>
        <v>0.8637789008984333</v>
      </c>
      <c r="AL102" s="56">
        <f>$AI$58</f>
        <v>0.5038710255240861</v>
      </c>
      <c r="AN102" s="9">
        <f>MDETERM($AO$101:$AQ$103)</f>
        <v>0.4922279792746113</v>
      </c>
      <c r="AO102" s="56">
        <f>$AM$56</f>
        <v>0.8637789008984335</v>
      </c>
      <c r="AP102" s="56">
        <f>$AM$57</f>
        <v>0.503871025524086</v>
      </c>
      <c r="AQ102" s="56">
        <f>$AM$58</f>
        <v>-0.8637789008984331</v>
      </c>
    </row>
    <row r="103" spans="15:43" ht="15.75">
      <c r="O103" s="41"/>
      <c r="AH103" s="4"/>
      <c r="AI103" s="10"/>
      <c r="AJ103" s="56">
        <f>$AM$56</f>
        <v>0.8637789008984335</v>
      </c>
      <c r="AK103" s="56">
        <f>$AM$57</f>
        <v>0.503871025524086</v>
      </c>
      <c r="AL103" s="56">
        <f>$AM$58</f>
        <v>-0.8637789008984331</v>
      </c>
      <c r="AN103" s="10"/>
      <c r="AO103" s="56">
        <f>$AI$56</f>
        <v>0.5038710255240864</v>
      </c>
      <c r="AP103" s="56">
        <f>$AI$57</f>
        <v>0.8637789008984333</v>
      </c>
      <c r="AQ103" s="56">
        <f>$AI$58</f>
        <v>0.5038710255240861</v>
      </c>
    </row>
    <row r="104" spans="15:41" ht="15.75">
      <c r="O104" s="41"/>
      <c r="P104" s="10"/>
      <c r="Q104" s="31"/>
      <c r="AI104" s="4" t="s">
        <v>82</v>
      </c>
      <c r="AJ104" s="9">
        <f>SQRT($AI$94*$AI$94+$AI$98*$AI$98+$AI$102*$AI$102)</f>
        <v>1.4142135623730947</v>
      </c>
      <c r="AN104" s="4" t="s">
        <v>82</v>
      </c>
      <c r="AO104" s="9">
        <f>SQRT($AI$94*$AI$94+$AI$98*$AI$98+$AI$102*$AI$102)</f>
        <v>1.4142135623730947</v>
      </c>
    </row>
    <row r="105" ht="12.75">
      <c r="AH105" s="4"/>
    </row>
    <row r="106" spans="13:43" ht="12.75">
      <c r="M106" s="42"/>
      <c r="P106" s="43"/>
      <c r="Q106" s="21"/>
      <c r="AH106" s="4"/>
      <c r="AK106" s="4" t="s">
        <v>83</v>
      </c>
      <c r="AL106" s="10">
        <f>ACOS(($AI$66*$AI$94+$AI$70*$AI$98+$AI$74*$AI$102)/($AJ$76*$AJ$104))</f>
        <v>1.206501358454539</v>
      </c>
      <c r="AP106" s="4" t="s">
        <v>83</v>
      </c>
      <c r="AQ106" s="10">
        <f>ACOS(($AI$66*$AN$94+$AI$70*$AN$98+$AI$74*$AN$102)/($AJ$76*$AO$104))</f>
        <v>1.9350912951352541</v>
      </c>
    </row>
    <row r="107" spans="14:43" ht="12.75">
      <c r="N107" s="47"/>
      <c r="AH107" s="4"/>
      <c r="AK107" s="4" t="s">
        <v>83</v>
      </c>
      <c r="AL107" s="10">
        <f>DEGREES($AL$106)</f>
        <v>69.12743581624557</v>
      </c>
      <c r="AP107" s="4" t="s">
        <v>83</v>
      </c>
      <c r="AQ107" s="10">
        <f>DEGREES($AQ$106)</f>
        <v>110.87256418375443</v>
      </c>
    </row>
    <row r="108" spans="15:43" ht="15.75">
      <c r="O108" s="4"/>
      <c r="P108" s="5"/>
      <c r="Q108" s="45"/>
      <c r="AH108" s="4"/>
      <c r="AK108" s="4" t="s">
        <v>81</v>
      </c>
      <c r="AL108" s="10">
        <f>0.5*PI()-$AL$106</f>
        <v>0.3642949683403576</v>
      </c>
      <c r="AP108" s="4" t="s">
        <v>81</v>
      </c>
      <c r="AQ108" s="10">
        <f>0.5*PI()-$AQ$106</f>
        <v>-0.3642949683403576</v>
      </c>
    </row>
    <row r="109" spans="15:43" ht="15.75">
      <c r="O109" s="4"/>
      <c r="P109" s="5"/>
      <c r="Q109" s="45"/>
      <c r="AH109" s="4"/>
      <c r="AK109" s="4" t="s">
        <v>81</v>
      </c>
      <c r="AL109" s="10">
        <f>DEGREES($AL$108)</f>
        <v>20.872564183754434</v>
      </c>
      <c r="AP109" s="4" t="s">
        <v>81</v>
      </c>
      <c r="AQ109" s="10">
        <f>DEGREES($AQ$108)</f>
        <v>-20.872564183754434</v>
      </c>
    </row>
    <row r="110" spans="15:43" ht="15.75">
      <c r="O110" s="4"/>
      <c r="P110" s="5"/>
      <c r="Q110" s="45"/>
      <c r="AH110" s="4"/>
      <c r="AK110" s="4" t="s">
        <v>81</v>
      </c>
      <c r="AL110" s="10">
        <f>ASIN(($AI$66*$AI$94+$AI$70*$AI$98+$AI$74*$AI$102)/($AJ$76*$AJ$104))</f>
        <v>0.3642949683403575</v>
      </c>
      <c r="AP110" s="4" t="s">
        <v>81</v>
      </c>
      <c r="AQ110" s="10">
        <f>ASIN(($AI$66*$AN$94+$AI$70*$AN$98+$AI$74*$AN$102)/($AJ$76*$AO$104))</f>
        <v>-0.3642949683403575</v>
      </c>
    </row>
    <row r="111" spans="14:43" ht="12.75">
      <c r="N111" s="47"/>
      <c r="AH111" s="4"/>
      <c r="AK111" s="4" t="s">
        <v>81</v>
      </c>
      <c r="AL111" s="10">
        <f>DEGREES($AL$110)</f>
        <v>20.87256418375443</v>
      </c>
      <c r="AP111" s="4" t="s">
        <v>81</v>
      </c>
      <c r="AQ111" s="10">
        <f>DEGREES($AQ$110)</f>
        <v>-20.87256418375443</v>
      </c>
    </row>
    <row r="112" spans="15:34" ht="15.75">
      <c r="O112" s="4"/>
      <c r="P112" s="5"/>
      <c r="Q112" s="45"/>
      <c r="AH112" s="4"/>
    </row>
    <row r="113" spans="15:43" ht="15.75">
      <c r="O113" s="4"/>
      <c r="P113" s="5"/>
      <c r="Q113" s="45"/>
      <c r="AH113" s="4"/>
      <c r="AK113" s="4" t="s">
        <v>84</v>
      </c>
      <c r="AL113" s="10">
        <f>ACOS(($AI$80*$AI$94+$AI$84*$AI$98+$AI$88*$AI$102)/($AJ$90*$AJ$104))</f>
        <v>0.7285899366807147</v>
      </c>
      <c r="AP113" s="4" t="s">
        <v>84</v>
      </c>
      <c r="AQ113" s="10">
        <f>ACOS(($AI$80*$AN$94+$AI$84*$AN$98+$AI$88*$AN$102)/($AJ$90*$AO$104))</f>
        <v>2.4130027169090784</v>
      </c>
    </row>
    <row r="114" spans="15:43" ht="15.75">
      <c r="O114" s="4"/>
      <c r="P114" s="5"/>
      <c r="Q114" s="45"/>
      <c r="AH114" s="4"/>
      <c r="AK114" s="4" t="s">
        <v>84</v>
      </c>
      <c r="AL114" s="10">
        <f>DEGREES($AL$113)</f>
        <v>41.74512836750884</v>
      </c>
      <c r="AP114" s="4" t="s">
        <v>84</v>
      </c>
      <c r="AQ114" s="10">
        <f>DEGREES($AQ$113)</f>
        <v>138.25487163249116</v>
      </c>
    </row>
    <row r="115" spans="14:43" ht="12.75">
      <c r="N115" s="47"/>
      <c r="AH115" s="4"/>
      <c r="AK115" s="4" t="s">
        <v>85</v>
      </c>
      <c r="AL115" s="10">
        <f>0.5*PI()-$AL$113</f>
        <v>0.8422063901141819</v>
      </c>
      <c r="AP115" s="4" t="s">
        <v>85</v>
      </c>
      <c r="AQ115" s="10">
        <f>0.5*PI()-$AQ$113</f>
        <v>-0.8422063901141819</v>
      </c>
    </row>
    <row r="116" spans="15:43" ht="15.75">
      <c r="O116" s="44"/>
      <c r="P116" s="5"/>
      <c r="Q116" s="45"/>
      <c r="AK116" s="4" t="s">
        <v>85</v>
      </c>
      <c r="AL116" s="10">
        <f>DEGREES($AL$115)</f>
        <v>48.25487163249116</v>
      </c>
      <c r="AP116" s="4" t="s">
        <v>85</v>
      </c>
      <c r="AQ116" s="10">
        <f>DEGREES($AQ$115)</f>
        <v>-48.25487163249116</v>
      </c>
    </row>
    <row r="117" spans="15:43" ht="15.75">
      <c r="O117" s="44"/>
      <c r="P117" s="5"/>
      <c r="Q117" s="45"/>
      <c r="AK117" s="4" t="s">
        <v>85</v>
      </c>
      <c r="AL117" s="10">
        <f>ASIN(($AI$80*$AI$94+$AI$84*$AI$98+$AI$88*$AI$102)/($AJ$90*$AJ$104))</f>
        <v>0.8422063901141819</v>
      </c>
      <c r="AP117" s="4" t="s">
        <v>85</v>
      </c>
      <c r="AQ117" s="10">
        <f>ASIN(($AI$80*$AN$94+$AI$84*$AN$98+$AI$88*$AN$102)/($AJ$90*$AO$104))</f>
        <v>-0.8422063901141819</v>
      </c>
    </row>
    <row r="118" spans="37:43" ht="12.75">
      <c r="AK118" s="4" t="s">
        <v>85</v>
      </c>
      <c r="AL118" s="10">
        <f>DEGREES($AL$117)</f>
        <v>48.25487163249116</v>
      </c>
      <c r="AP118" s="4" t="s">
        <v>85</v>
      </c>
      <c r="AQ118" s="10">
        <f>DEGREES($AQ$117)</f>
        <v>-48.25487163249116</v>
      </c>
    </row>
    <row r="120" spans="34:38" ht="12.75">
      <c r="AH120" s="4"/>
      <c r="AK120" s="4" t="s">
        <v>86</v>
      </c>
      <c r="AL120" s="10">
        <f>ACOS(($AI$56*$AM$56+$AI$57*$AM$57+$AI$58*$AM$58)/($AI$60*$AM$60))</f>
        <v>1.272238920816987</v>
      </c>
    </row>
    <row r="121" spans="34:38" ht="12.75">
      <c r="AH121" s="4"/>
      <c r="AK121" s="4" t="s">
        <v>86</v>
      </c>
      <c r="AL121" s="10">
        <f>DEGREES($AL$120)</f>
        <v>72.8939206950919</v>
      </c>
    </row>
    <row r="122" spans="34:38" ht="12.75">
      <c r="AH122" s="4"/>
      <c r="AK122" s="4" t="s">
        <v>87</v>
      </c>
      <c r="AL122" s="10">
        <f>ACOS(-($AI$56*$AM$56+$AI$57*$AM$57+$AI$58*$AM$58)/($AI$60*$AM$60))</f>
        <v>1.869353732772806</v>
      </c>
    </row>
    <row r="123" spans="34:38" ht="12.75">
      <c r="AH123" s="4"/>
      <c r="AK123" s="4" t="s">
        <v>87</v>
      </c>
      <c r="AL123" s="10">
        <f>DEGREES($AL$122)</f>
        <v>107.1060793049081</v>
      </c>
    </row>
    <row r="124" ht="12.75">
      <c r="AH124" s="4"/>
    </row>
    <row r="125" ht="12.75">
      <c r="AH125" s="4"/>
    </row>
    <row r="126" ht="12.75">
      <c r="AH126" s="4"/>
    </row>
    <row r="127" ht="12.75">
      <c r="AH127" s="4"/>
    </row>
    <row r="128" ht="12.75">
      <c r="AH128" s="4"/>
    </row>
    <row r="129" ht="12.75">
      <c r="AH129" s="4"/>
    </row>
    <row r="130" ht="12.75">
      <c r="AH130" s="4"/>
    </row>
    <row r="131" ht="12.75">
      <c r="AH131" s="4"/>
    </row>
    <row r="132" ht="12.75">
      <c r="AH132" s="4"/>
    </row>
    <row r="133" ht="12.75">
      <c r="AH133" s="4"/>
    </row>
    <row r="134" ht="12.75">
      <c r="AH134" s="4"/>
    </row>
    <row r="135" ht="12.75">
      <c r="AH135" s="4"/>
    </row>
    <row r="136" ht="12.75">
      <c r="AH136" s="4"/>
    </row>
    <row r="137" ht="12.75">
      <c r="AH137" s="4"/>
    </row>
    <row r="138" ht="12.75">
      <c r="AH138" s="4"/>
    </row>
    <row r="139" ht="12.75">
      <c r="AH139" s="4"/>
    </row>
    <row r="140" ht="12.75">
      <c r="AH140" s="4"/>
    </row>
    <row r="141" ht="12.75">
      <c r="AH141" s="4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</sheetData>
  <sheetProtection password="FE37" sheet="1" objects="1" scenarios="1"/>
  <conditionalFormatting sqref="H8">
    <cfRule type="cellIs" priority="1" dxfId="0" operator="equal" stopIfTrue="1">
      <formula>" N/A"</formula>
    </cfRule>
  </conditionalFormatting>
  <conditionalFormatting sqref="G14:G17 G20:G23">
    <cfRule type="cellIs" priority="2" dxfId="1" operator="lessThan" stopIfTrue="1">
      <formula>0</formula>
    </cfRule>
  </conditionalFormatting>
  <conditionalFormatting sqref="H13 H19">
    <cfRule type="cellIs" priority="3" dxfId="1" operator="equal" stopIfTrue="1">
      <formula>"Angle on the Stick &gt; 90°"</formula>
    </cfRule>
  </conditionalFormatting>
  <conditionalFormatting sqref="I14 I20">
    <cfRule type="cellIs" priority="4" dxfId="1" operator="greaterThan" stopIfTrue="1">
      <formula>90</formula>
    </cfRule>
  </conditionalFormatting>
  <conditionalFormatting sqref="J20 J14">
    <cfRule type="cellIs" priority="5" dxfId="1" operator="equal" stopIfTrue="1">
      <formula>"degrees"</formula>
    </cfRule>
  </conditionalFormatting>
  <conditionalFormatting sqref="F8 F10">
    <cfRule type="cellIs" priority="6" dxfId="1" operator="equal" stopIfTrue="1">
      <formula>"Value not required 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Square Tail Fascia intercepts Hip Rafter</dc:title>
  <dc:subject>Applied Construction Mathematics Calculator</dc:subject>
  <dc:creator>Joe Bartok</dc:creator>
  <cp:keywords/>
  <dc:description>Square Tail Fascia intercepts Hip Rafter:
Compound Angle Miter/Bevel Calculator</dc:description>
  <cp:lastModifiedBy>Joe Bartok</cp:lastModifiedBy>
  <dcterms:created xsi:type="dcterms:W3CDTF">2006-01-04T22:52:13Z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