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04">
      <text>
        <t xml:space="preserve">Thanks for watching Our Video...
Open FREE Demat in Angel One ✅
https://tinyurl.com/ykhog248
https://tinyurl.com/ykhog248
👆🏻 Share Market me Invest/Trade karne ke liye Upar Diye hue Link Par Click karke Apna FREE Demat account Kholen, aur apni Investing ki shuruwat karen.
-----------------------------
Upstox Demat Account ✅
https://bit.ly/Upstox-DematAccount
-----------------------------
📲🎉 Buy Our Basic to Advance Stock Market Mastery Course :
🤖 Android:
https://bit.ly/NeerajjoshiAndroid
📱 iOS:
https://apple.co/3qyIkSi
Org code: ytdlyk
-----------------------------
Stock Market Millionaire Book Link -
https://amzn.eu/d/iswWnEk
-----------------------------
Important Videos 📹:
• Angel One Account Opening Process
https://youtu.be/YnnckscgZHs
• Angel One Share Buy &amp; Sell process
https://youtu.be/PBk-rBjkRvs
---------------------------
Insurance is Important ✅
Buy Online Term Insurance (Online Discount Upto 10% ) 👇🏻
https://bit.ly/Terminsurance-FP
Buy Online Health Insurance (Online Discount Upto 25%) 👇🏻 :
https://bit.ly/Healthinsurance-FP
---------------------------
Follow me on :
🔵 Telegram :
https://www.telegram.me/neerajjoshi5014
🙋 Instagram
https://www.Instagram.com/neerajjoshi5014
❤ Facebook
https://www.facebook.com/neerajjoshi5014
🐦 Twitter (Now X)
https://twitter.com/Neerajjoshi5014</t>
      </text>
    </comment>
  </commentList>
</comments>
</file>

<file path=xl/sharedStrings.xml><?xml version="1.0" encoding="utf-8"?>
<sst xmlns="http://schemas.openxmlformats.org/spreadsheetml/2006/main" count="115" uniqueCount="115">
  <si>
    <t>SYMBOL</t>
  </si>
  <si>
    <t>NSE SYMBOL</t>
  </si>
  <si>
    <t>CMP</t>
  </si>
  <si>
    <t>Volume</t>
  </si>
  <si>
    <t>20 Day Volume</t>
  </si>
  <si>
    <t>20 Day Volume Breakout</t>
  </si>
  <si>
    <t>10 DMA</t>
  </si>
  <si>
    <t>30 DMA</t>
  </si>
  <si>
    <t>60 DMA</t>
  </si>
  <si>
    <t>90 DMA</t>
  </si>
  <si>
    <t>120 DMA</t>
  </si>
  <si>
    <t>200 DMA</t>
  </si>
  <si>
    <t>OUTPUT</t>
  </si>
  <si>
    <t>HDFCBANK</t>
  </si>
  <si>
    <t>IRB</t>
  </si>
  <si>
    <t>MAZDOCK</t>
  </si>
  <si>
    <t>RELIANCE</t>
  </si>
  <si>
    <t>TATASTEEL</t>
  </si>
  <si>
    <t>ICICIBANK</t>
  </si>
  <si>
    <t>MOTHERSON</t>
  </si>
  <si>
    <t>IDEA</t>
  </si>
  <si>
    <t>SBIN</t>
  </si>
  <si>
    <t>COCHINSHIP</t>
  </si>
  <si>
    <t>INFY</t>
  </si>
  <si>
    <t>HAL</t>
  </si>
  <si>
    <t>CUMMINSIND</t>
  </si>
  <si>
    <t>BEL</t>
  </si>
  <si>
    <t>RVNL</t>
  </si>
  <si>
    <t>TCS</t>
  </si>
  <si>
    <t>KFINTECH</t>
  </si>
  <si>
    <t>LT</t>
  </si>
  <si>
    <t>BHARTIARTL</t>
  </si>
  <si>
    <t>TATAMOTORS</t>
  </si>
  <si>
    <t>KOTAKBANK</t>
  </si>
  <si>
    <t>EMAMILTD</t>
  </si>
  <si>
    <t>INDIGO</t>
  </si>
  <si>
    <t>ITC</t>
  </si>
  <si>
    <t>AXISBANK</t>
  </si>
  <si>
    <t>M&amp;M</t>
  </si>
  <si>
    <t>GMRINFRA</t>
  </si>
  <si>
    <t>TITAN</t>
  </si>
  <si>
    <t>IRFC</t>
  </si>
  <si>
    <t>NHPC</t>
  </si>
  <si>
    <t>BAJFINANCE</t>
  </si>
  <si>
    <t>BDL</t>
  </si>
  <si>
    <t>KNRCON</t>
  </si>
  <si>
    <t>ALKEM</t>
  </si>
  <si>
    <t>HINDALCO</t>
  </si>
  <si>
    <t>PFC</t>
  </si>
  <si>
    <t>POWERGRID</t>
  </si>
  <si>
    <t>MARUTI</t>
  </si>
  <si>
    <t>RECLTD</t>
  </si>
  <si>
    <t>ADANIENT</t>
  </si>
  <si>
    <t>HINDCOPPER</t>
  </si>
  <si>
    <t>ZOMATO</t>
  </si>
  <si>
    <t>LINDEINDIA</t>
  </si>
  <si>
    <t>AWFIS</t>
  </si>
  <si>
    <t>VEDL</t>
  </si>
  <si>
    <t>ADANIPOWER</t>
  </si>
  <si>
    <t>HUDCO</t>
  </si>
  <si>
    <t>HCLTECH</t>
  </si>
  <si>
    <t>NTPC</t>
  </si>
  <si>
    <t>HERITGFOOD</t>
  </si>
  <si>
    <t>LIQUIDBEES</t>
  </si>
  <si>
    <t>INDUSINDBK</t>
  </si>
  <si>
    <t>ADANIPORTS</t>
  </si>
  <si>
    <t>EXICOM</t>
  </si>
  <si>
    <t>SUNPHARMA</t>
  </si>
  <si>
    <t>ZEEL</t>
  </si>
  <si>
    <t>WIPRO</t>
  </si>
  <si>
    <t>ADANIENSOL</t>
  </si>
  <si>
    <t>SJVN</t>
  </si>
  <si>
    <t>NATIONALUM</t>
  </si>
  <si>
    <t>HINDUNILVR</t>
  </si>
  <si>
    <t>BFUTILITIE</t>
  </si>
  <si>
    <t>SOLARINDS</t>
  </si>
  <si>
    <t>CGPOWER</t>
  </si>
  <si>
    <t>ABFRL</t>
  </si>
  <si>
    <t>ONGC</t>
  </si>
  <si>
    <t>BATAINDIA</t>
  </si>
  <si>
    <t>CANBK</t>
  </si>
  <si>
    <t>ASIANPAINT</t>
  </si>
  <si>
    <t>TATAPOWER</t>
  </si>
  <si>
    <t>POLICYBZR</t>
  </si>
  <si>
    <t>BHEL</t>
  </si>
  <si>
    <t>APOLLOHOSP</t>
  </si>
  <si>
    <t>COALINDIA</t>
  </si>
  <si>
    <t>JSWENERGY</t>
  </si>
  <si>
    <t>TITAGARH</t>
  </si>
  <si>
    <t>DRREDDY</t>
  </si>
  <si>
    <t>INDUSTOWER</t>
  </si>
  <si>
    <t>JSWSTEEL</t>
  </si>
  <si>
    <t>UNOMINDA</t>
  </si>
  <si>
    <t>BAJAJFINSV</t>
  </si>
  <si>
    <t>HDFCLIFE</t>
  </si>
  <si>
    <t>PNB</t>
  </si>
  <si>
    <t>JUBLFOOD</t>
  </si>
  <si>
    <t>JIOFIN</t>
  </si>
  <si>
    <t>DIVISLAB</t>
  </si>
  <si>
    <t>DLF</t>
  </si>
  <si>
    <t>GAIL</t>
  </si>
  <si>
    <t>THERMAX</t>
  </si>
  <si>
    <t>PARAS</t>
  </si>
  <si>
    <t>TECHM</t>
  </si>
  <si>
    <t>SUNDARMFIN</t>
  </si>
  <si>
    <t>ULTRACEMCO</t>
  </si>
  <si>
    <t>SAIL</t>
  </si>
  <si>
    <t>SHRIRAMFIN</t>
  </si>
  <si>
    <t>NESTLEIND</t>
  </si>
  <si>
    <t>RHIM</t>
  </si>
  <si>
    <t>BPCL</t>
  </si>
  <si>
    <t>NIFTYBEES</t>
  </si>
  <si>
    <t>GRINDWELL</t>
  </si>
  <si>
    <t>BIOCON</t>
  </si>
  <si>
    <t>CLICK HERE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</si>
</sst>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1.0"/>
      <color rgb="FF000000"/>
      <name val="Arial"/>
    </font>
    <font>
      <b/>
      <color theme="1"/>
      <name val="Arial"/>
    </font>
    <font>
      <sz val="11.0"/>
      <color rgb="FF000000"/>
      <name val="Arial"/>
    </font>
    <font>
      <color theme="1"/>
      <name val="Arial"/>
    </font>
    <font>
      <color rgb="FF000000"/>
      <name val="Arial"/>
    </font>
    <font>
      <color theme="1"/>
      <name val="Arial"/>
      <scheme val="minor"/>
    </font>
    <font>
      <b/>
      <i/>
      <sz val="11.0"/>
      <color theme="1"/>
      <name val="Arial"/>
      <scheme val="minor"/>
    </font>
    <font>
      <sz val="11.0"/>
      <color rgb="FF000000"/>
      <name val="Lato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bottom" wrapText="0"/>
    </xf>
    <xf borderId="0" fillId="2" fontId="2" numFmtId="0" xfId="0" applyAlignment="1" applyFont="1">
      <alignment horizontal="left" readingOrder="0"/>
    </xf>
    <xf borderId="0" fillId="2" fontId="2" numFmtId="0" xfId="0" applyAlignment="1" applyFont="1">
      <alignment readingOrder="0"/>
    </xf>
    <xf borderId="0" fillId="2" fontId="2" numFmtId="0" xfId="0" applyAlignment="1" applyFont="1">
      <alignment horizontal="center" readingOrder="0"/>
    </xf>
    <xf borderId="0" fillId="0" fontId="3" numFmtId="0" xfId="0" applyAlignment="1" applyFont="1">
      <alignment readingOrder="0" shrinkToFit="0" vertical="bottom" wrapText="0"/>
    </xf>
    <xf borderId="0" fillId="0" fontId="4" numFmtId="0" xfId="0" applyAlignment="1" applyFont="1">
      <alignment horizontal="left"/>
    </xf>
    <xf borderId="0" fillId="3" fontId="5" numFmtId="0" xfId="0" applyAlignment="1" applyFill="1" applyFont="1">
      <alignment readingOrder="0"/>
    </xf>
    <xf borderId="0" fillId="3" fontId="5" numFmtId="0" xfId="0" applyFont="1"/>
    <xf borderId="0" fillId="3" fontId="5" numFmtId="0" xfId="0" applyAlignment="1" applyFont="1">
      <alignment horizontal="center"/>
    </xf>
    <xf borderId="0" fillId="3" fontId="3" numFmtId="0" xfId="0" applyFont="1"/>
    <xf borderId="0" fillId="3" fontId="3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2" fontId="7" numFmtId="0" xfId="0" applyAlignment="1" applyFont="1">
      <alignment readingOrder="0"/>
    </xf>
    <xf borderId="0" fillId="3" fontId="3" numFmtId="0" xfId="0" applyAlignment="1" applyFont="1">
      <alignment readingOrder="0"/>
    </xf>
    <xf borderId="0" fillId="3" fontId="8" numFmtId="0" xfId="0" applyAlignment="1" applyFont="1">
      <alignment readingOrder="0"/>
    </xf>
    <xf borderId="0" fillId="3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0"/>
    <col customWidth="1" min="5" max="6" width="21.0"/>
    <col customWidth="1" min="13" max="13" width="25.5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</row>
    <row r="2">
      <c r="A2" s="5" t="s">
        <v>13</v>
      </c>
      <c r="B2" s="6" t="str">
        <f t="shared" ref="B2:B102" si="1">"NSE:"&amp;A2</f>
        <v>NSE:HDFCBANK</v>
      </c>
      <c r="C2" s="7">
        <f>IFERROR(__xludf.DUMMYFUNCTION("GOOGLEFINANCE(B2,""price"")"),1726.95)</f>
        <v>1726.95</v>
      </c>
      <c r="D2" s="8">
        <f>IFERROR(__xludf.DUMMYFUNCTION("GOOGLEFINANCE(B2,""Volume"")"),5705603.0)</f>
        <v>5705603</v>
      </c>
      <c r="E2" s="7">
        <v>20.0</v>
      </c>
      <c r="F2" s="9" t="str">
        <f>IFERROR(__xludf.DUMMYFUNCTION("IF(D2&gt;AVERAGE(INDEX(GOOGLEFINANCE(B2,""volume"",WORKDAY(TODAY(),-$E$2),TODAY()),,2)),""Breakout"","""")"),"")</f>
        <v/>
      </c>
      <c r="G2" s="8">
        <f>IFERROR(__xludf.DUMMYFUNCTION("AVERAGE(QUERY(SORT(GOOGLEFINANCE(B2,""price"",TODAY()-365,TODAY()),1,0),""select Col2 limit 10""))"),1731.03)</f>
        <v>1731.03</v>
      </c>
      <c r="H2" s="10">
        <f>IFERROR(__xludf.DUMMYFUNCTION("AVERAGE(QUERY(SORT(GOOGLEFINANCE(B2,""price"",TODAY()-365,TODAY()),1,0),""select Col2 limit 30""))"),1712.05)</f>
        <v>1712.05</v>
      </c>
      <c r="I2" s="10">
        <f>IFERROR(__xludf.DUMMYFUNCTION("AVERAGE(QUERY(SORT(GOOGLEFINANCE(B2,""price"",TODAY()-365,TODAY()),1,0),""select Col2 limit 60""))"),1676.9850000000004)</f>
        <v>1676.985</v>
      </c>
      <c r="J2" s="10">
        <f>IFERROR(__xludf.DUMMYFUNCTION("AVERAGE(QUERY(SORT(GOOGLEFINANCE(B2,""price"",TODAY()-365,TODAY()),1,0),""select Col2 limit 90""))"),1667.2122222222226)</f>
        <v>1667.212222</v>
      </c>
      <c r="K2" s="10">
        <f>IFERROR(__xludf.DUMMYFUNCTION("AVERAGE(QUERY(SORT(GOOGLEFINANCE(B2,""price"",TODAY()-365,TODAY()),1,0),""select Col2 limit 120""))"),1634.9833333333336)</f>
        <v>1634.983333</v>
      </c>
      <c r="L2" s="10">
        <f>IFERROR(__xludf.DUMMYFUNCTION("AVERAGE(QUERY(SORT(GOOGLEFINANCE(B2,""price"",TODAY()-365,TODAY()),1,0),""select Col2 limit 200""))"),1573.4105000000004)</f>
        <v>1573.4105</v>
      </c>
      <c r="M2" s="11" t="str">
        <f t="shared" ref="M2:M102" si="2">IF(AND(C2&gt;G2,C2&gt;H2,C2&gt;I2,C2&gt;J2,C2&gt;K2,C2&lt;L2), "Best for Buy Above 200 DMA", IF(AND(C2&lt;G2,C2&lt;H2,C2&lt;I2,C2&lt;J2,C2&lt;K2,C2&gt;L2),"Best for Sell Below 200 DMA", "Avoid" ))</f>
        <v>Avoid</v>
      </c>
    </row>
    <row r="3">
      <c r="A3" s="5" t="s">
        <v>14</v>
      </c>
      <c r="B3" s="6" t="str">
        <f t="shared" si="1"/>
        <v>NSE:IRB</v>
      </c>
      <c r="C3" s="7">
        <f>IFERROR(__xludf.DUMMYFUNCTION("GOOGLEFINANCE(B3,""price"")"),51.58)</f>
        <v>51.58</v>
      </c>
      <c r="D3" s="8">
        <f>IFERROR(__xludf.DUMMYFUNCTION("GOOGLEFINANCE(B3,""Volume"")"),9961297.0)</f>
        <v>9961297</v>
      </c>
      <c r="E3" s="7">
        <v>20.0</v>
      </c>
      <c r="F3" s="9" t="str">
        <f>IFERROR(__xludf.DUMMYFUNCTION("IF(D3&gt;AVERAGE(INDEX(GOOGLEFINANCE(B3,""volume"",WORKDAY(TODAY(),-$E$2),TODAY()),,2)),""Breakout"","""")"),"")</f>
        <v/>
      </c>
      <c r="G3" s="8">
        <f>IFERROR(__xludf.DUMMYFUNCTION("AVERAGE(QUERY(SORT(GOOGLEFINANCE(B3,""price"",TODAY()-365,TODAY()),1,0),""select Col2 limit 10""))"),53.212)</f>
        <v>53.212</v>
      </c>
      <c r="H3" s="10">
        <f>IFERROR(__xludf.DUMMYFUNCTION("AVERAGE(QUERY(SORT(GOOGLEFINANCE(B3,""price"",TODAY()-365,TODAY()),1,0),""select Col2 limit 30""))"),57.873000000000005)</f>
        <v>57.873</v>
      </c>
      <c r="I3" s="10">
        <f>IFERROR(__xludf.DUMMYFUNCTION("AVERAGE(QUERY(SORT(GOOGLEFINANCE(B3,""price"",TODAY()-365,TODAY()),1,0),""select Col2 limit 60""))"),60.43250000000001)</f>
        <v>60.4325</v>
      </c>
      <c r="J3" s="10">
        <f>IFERROR(__xludf.DUMMYFUNCTION("AVERAGE(QUERY(SORT(GOOGLEFINANCE(B3,""price"",TODAY()-365,TODAY()),1,0),""select Col2 limit 90""))"),62.41722222222222)</f>
        <v>62.41722222</v>
      </c>
      <c r="K3" s="10">
        <f>IFERROR(__xludf.DUMMYFUNCTION("AVERAGE(QUERY(SORT(GOOGLEFINANCE(B3,""price"",TODAY()-365,TODAY()),1,0),""select Col2 limit 120""))"),63.887583333333346)</f>
        <v>63.88758333</v>
      </c>
      <c r="L3" s="10">
        <f>IFERROR(__xludf.DUMMYFUNCTION("AVERAGE(QUERY(SORT(GOOGLEFINANCE(B3,""price"",TODAY()-365,TODAY()),1,0),""select Col2 limit 200""))"),62.95629999999996)</f>
        <v>62.9563</v>
      </c>
      <c r="M3" s="11" t="str">
        <f t="shared" si="2"/>
        <v>Avoid</v>
      </c>
    </row>
    <row r="4">
      <c r="A4" s="5" t="s">
        <v>15</v>
      </c>
      <c r="B4" s="6" t="str">
        <f t="shared" si="1"/>
        <v>NSE:MAZDOCK</v>
      </c>
      <c r="C4" s="7">
        <f>IFERROR(__xludf.DUMMYFUNCTION("GOOGLEFINANCE(B4,""price"")"),4040.0)</f>
        <v>4040</v>
      </c>
      <c r="D4" s="8">
        <f>IFERROR(__xludf.DUMMYFUNCTION("GOOGLEFINANCE(B4,""Volume"")"),586005.0)</f>
        <v>586005</v>
      </c>
      <c r="E4" s="7">
        <v>20.0</v>
      </c>
      <c r="F4" s="9" t="str">
        <f>IFERROR(__xludf.DUMMYFUNCTION("IF(D4&gt;AVERAGE(INDEX(GOOGLEFINANCE(B4,""volume"",WORKDAY(TODAY(),-$E$2),TODAY()),,2)),""Breakout"","""")"),"")</f>
        <v/>
      </c>
      <c r="G4" s="8">
        <f>IFERROR(__xludf.DUMMYFUNCTION("AVERAGE(QUERY(SORT(GOOGLEFINANCE(B4,""price"",TODAY()-365,TODAY()),1,0),""select Col2 limit 10""))"),4200.175)</f>
        <v>4200.175</v>
      </c>
      <c r="H4" s="10">
        <f>IFERROR(__xludf.DUMMYFUNCTION("AVERAGE(QUERY(SORT(GOOGLEFINANCE(B4,""price"",TODAY()-365,TODAY()),1,0),""select Col2 limit 30""))"),4212.798333333334)</f>
        <v>4212.798333</v>
      </c>
      <c r="I4" s="10">
        <f>IFERROR(__xludf.DUMMYFUNCTION("AVERAGE(QUERY(SORT(GOOGLEFINANCE(B4,""price"",TODAY()-365,TODAY()),1,0),""select Col2 limit 60""))"),4355.923333333332)</f>
        <v>4355.923333</v>
      </c>
      <c r="J4" s="10">
        <f>IFERROR(__xludf.DUMMYFUNCTION("AVERAGE(QUERY(SORT(GOOGLEFINANCE(B4,""price"",TODAY()-365,TODAY()),1,0),""select Col2 limit 90""))"),4582.23888888889)</f>
        <v>4582.238889</v>
      </c>
      <c r="K4" s="10">
        <f>IFERROR(__xludf.DUMMYFUNCTION("AVERAGE(QUERY(SORT(GOOGLEFINANCE(B4,""price"",TODAY()-365,TODAY()),1,0),""select Col2 limit 120""))"),4221.535833333333)</f>
        <v>4221.535833</v>
      </c>
      <c r="L4" s="10">
        <f>IFERROR(__xludf.DUMMYFUNCTION("AVERAGE(QUERY(SORT(GOOGLEFINANCE(B4,""price"",TODAY()-365,TODAY()),1,0),""select Col2 limit 200""))"),3397.5932499999985)</f>
        <v>3397.59325</v>
      </c>
      <c r="M4" s="11" t="str">
        <f t="shared" si="2"/>
        <v>Best for Sell Below 200 DMA</v>
      </c>
    </row>
    <row r="5">
      <c r="A5" s="5" t="s">
        <v>16</v>
      </c>
      <c r="B5" s="6" t="str">
        <f t="shared" si="1"/>
        <v>NSE:RELIANCE</v>
      </c>
      <c r="C5" s="7">
        <f>IFERROR(__xludf.DUMMYFUNCTION("GOOGLEFINANCE(B5,""price"")"),1296.5)</f>
        <v>1296.5</v>
      </c>
      <c r="D5" s="8">
        <f>IFERROR(__xludf.DUMMYFUNCTION("GOOGLEFINANCE(B5,""Volume"")"),1.1034761E7)</f>
        <v>11034761</v>
      </c>
      <c r="E5" s="7">
        <v>20.0</v>
      </c>
      <c r="F5" s="9" t="str">
        <f>IFERROR(__xludf.DUMMYFUNCTION("IF(D5&gt;AVERAGE(INDEX(GOOGLEFINANCE(B5,""volume"",WORKDAY(TODAY(),-$E$2),TODAY()),,2)),""Breakout"","""")"),"Breakout")</f>
        <v>Breakout</v>
      </c>
      <c r="G5" s="8">
        <f>IFERROR(__xludf.DUMMYFUNCTION("AVERAGE(QUERY(SORT(GOOGLEFINANCE(B5,""price"",TODAY()-365,TODAY()),1,0),""select Col2 limit 10""))"),1342.833)</f>
        <v>1342.833</v>
      </c>
      <c r="H5" s="10">
        <f>IFERROR(__xludf.DUMMYFUNCTION("AVERAGE(QUERY(SORT(GOOGLEFINANCE(B5,""price"",TODAY()-365,TODAY()),1,0),""select Col2 limit 30""))"),1397.7533333333329)</f>
        <v>1397.753333</v>
      </c>
      <c r="I5" s="10">
        <f>IFERROR(__xludf.DUMMYFUNCTION("AVERAGE(QUERY(SORT(GOOGLEFINANCE(B5,""price"",TODAY()-365,TODAY()),1,0),""select Col2 limit 60""))"),1440.682833333333)</f>
        <v>1440.682833</v>
      </c>
      <c r="J5" s="10">
        <f>IFERROR(__xludf.DUMMYFUNCTION("AVERAGE(QUERY(SORT(GOOGLEFINANCE(B5,""price"",TODAY()-365,TODAY()),1,0),""select Col2 limit 90""))"),1472.6224444444433)</f>
        <v>1472.622444</v>
      </c>
      <c r="K5" s="10">
        <f>IFERROR(__xludf.DUMMYFUNCTION("AVERAGE(QUERY(SORT(GOOGLEFINANCE(B5,""price"",TODAY()-365,TODAY()),1,0),""select Col2 limit 120""))"),1466.6524999999992)</f>
        <v>1466.6525</v>
      </c>
      <c r="L5" s="10">
        <f>IFERROR(__xludf.DUMMYFUNCTION("AVERAGE(QUERY(SORT(GOOGLEFINANCE(B5,""price"",TODAY()-365,TODAY()),1,0),""select Col2 limit 200""))"),1456.45415)</f>
        <v>1456.45415</v>
      </c>
      <c r="M5" s="11" t="str">
        <f t="shared" si="2"/>
        <v>Avoid</v>
      </c>
    </row>
    <row r="6">
      <c r="A6" s="5" t="s">
        <v>17</v>
      </c>
      <c r="B6" s="6" t="str">
        <f t="shared" si="1"/>
        <v>NSE:TATASTEEL</v>
      </c>
      <c r="C6" s="7">
        <f>IFERROR(__xludf.DUMMYFUNCTION("GOOGLEFINANCE(B6,""price"")"),146.65)</f>
        <v>146.65</v>
      </c>
      <c r="D6" s="8">
        <f>IFERROR(__xludf.DUMMYFUNCTION("GOOGLEFINANCE(B6,""Volume"")"),1.4993701E7)</f>
        <v>14993701</v>
      </c>
      <c r="E6" s="7">
        <v>20.0</v>
      </c>
      <c r="F6" s="9" t="str">
        <f>IFERROR(__xludf.DUMMYFUNCTION("IF(D6&gt;AVERAGE(INDEX(GOOGLEFINANCE(B6,""volume"",WORKDAY(TODAY(),-$E$2),TODAY()),,2)),""Breakout"","""")"),"")</f>
        <v/>
      </c>
      <c r="G6" s="8">
        <f>IFERROR(__xludf.DUMMYFUNCTION("AVERAGE(QUERY(SORT(GOOGLEFINANCE(B6,""price"",TODAY()-365,TODAY()),1,0),""select Col2 limit 10""))"),150.14000000000001)</f>
        <v>150.14</v>
      </c>
      <c r="H6" s="10">
        <f>IFERROR(__xludf.DUMMYFUNCTION("AVERAGE(QUERY(SORT(GOOGLEFINANCE(B6,""price"",TODAY()-365,TODAY()),1,0),""select Col2 limit 30""))"),156.85066666666668)</f>
        <v>156.8506667</v>
      </c>
      <c r="I6" s="10">
        <f>IFERROR(__xludf.DUMMYFUNCTION("AVERAGE(QUERY(SORT(GOOGLEFINANCE(B6,""price"",TODAY()-365,TODAY()),1,0),""select Col2 limit 60""))"),154.41916666666668)</f>
        <v>154.4191667</v>
      </c>
      <c r="J6" s="10">
        <f>IFERROR(__xludf.DUMMYFUNCTION("AVERAGE(QUERY(SORT(GOOGLEFINANCE(B6,""price"",TODAY()-365,TODAY()),1,0),""select Col2 limit 90""))"),158.43833333333333)</f>
        <v>158.4383333</v>
      </c>
      <c r="K6" s="10">
        <f>IFERROR(__xludf.DUMMYFUNCTION("AVERAGE(QUERY(SORT(GOOGLEFINANCE(B6,""price"",TODAY()-365,TODAY()),1,0),""select Col2 limit 120""))"),162.22983333333335)</f>
        <v>162.2298333</v>
      </c>
      <c r="L6" s="10">
        <f>IFERROR(__xludf.DUMMYFUNCTION("AVERAGE(QUERY(SORT(GOOGLEFINANCE(B6,""price"",TODAY()-365,TODAY()),1,0),""select Col2 limit 200""))"),157.14415000000005)</f>
        <v>157.14415</v>
      </c>
      <c r="M6" s="11" t="str">
        <f t="shared" si="2"/>
        <v>Avoid</v>
      </c>
    </row>
    <row r="7">
      <c r="A7" s="5" t="s">
        <v>18</v>
      </c>
      <c r="B7" s="6" t="str">
        <f t="shared" si="1"/>
        <v>NSE:ICICIBANK</v>
      </c>
      <c r="C7" s="7">
        <f>IFERROR(__xludf.DUMMYFUNCTION("GOOGLEFINANCE(B7,""price"")"),1275.0)</f>
        <v>1275</v>
      </c>
      <c r="D7" s="8">
        <f>IFERROR(__xludf.DUMMYFUNCTION("GOOGLEFINANCE(B7,""Volume"")"),5538061.0)</f>
        <v>5538061</v>
      </c>
      <c r="E7" s="7">
        <v>20.0</v>
      </c>
      <c r="F7" s="9" t="str">
        <f>IFERROR(__xludf.DUMMYFUNCTION("IF(D7&gt;AVERAGE(INDEX(GOOGLEFINANCE(B7,""volume"",WORKDAY(TODAY(),-$E$2),TODAY()),,2)),""Breakout"","""")"),"")</f>
        <v/>
      </c>
      <c r="G7" s="8">
        <f>IFERROR(__xludf.DUMMYFUNCTION("AVERAGE(QUERY(SORT(GOOGLEFINANCE(B7,""price"",TODAY()-365,TODAY()),1,0),""select Col2 limit 10""))"),1277.995)</f>
        <v>1277.995</v>
      </c>
      <c r="H7" s="10">
        <f>IFERROR(__xludf.DUMMYFUNCTION("AVERAGE(QUERY(SORT(GOOGLEFINANCE(B7,""price"",TODAY()-365,TODAY()),1,0),""select Col2 limit 30""))"),1273.2233333333331)</f>
        <v>1273.223333</v>
      </c>
      <c r="I7" s="10">
        <f>IFERROR(__xludf.DUMMYFUNCTION("AVERAGE(QUERY(SORT(GOOGLEFINANCE(B7,""price"",TODAY()-365,TODAY()),1,0),""select Col2 limit 60""))"),1243.7224999999999)</f>
        <v>1243.7225</v>
      </c>
      <c r="J7" s="10">
        <f>IFERROR(__xludf.DUMMYFUNCTION("AVERAGE(QUERY(SORT(GOOGLEFINANCE(B7,""price"",TODAY()-365,TODAY()),1,0),""select Col2 limit 90""))"),1235.278333333333)</f>
        <v>1235.278333</v>
      </c>
      <c r="K7" s="10">
        <f>IFERROR(__xludf.DUMMYFUNCTION("AVERAGE(QUERY(SORT(GOOGLEFINANCE(B7,""price"",TODAY()-365,TODAY()),1,0),""select Col2 limit 120""))"),1207.6512499999997)</f>
        <v>1207.65125</v>
      </c>
      <c r="L7" s="10">
        <f>IFERROR(__xludf.DUMMYFUNCTION("AVERAGE(QUERY(SORT(GOOGLEFINANCE(B7,""price"",TODAY()-365,TODAY()),1,0),""select Col2 limit 200""))"),1148.9702499999999)</f>
        <v>1148.97025</v>
      </c>
      <c r="M7" s="11" t="str">
        <f t="shared" si="2"/>
        <v>Avoid</v>
      </c>
    </row>
    <row r="8">
      <c r="A8" s="5" t="s">
        <v>19</v>
      </c>
      <c r="B8" s="6" t="str">
        <f t="shared" si="1"/>
        <v>NSE:MOTHERSON</v>
      </c>
      <c r="C8" s="7">
        <f>IFERROR(__xludf.DUMMYFUNCTION("GOOGLEFINANCE(B8,""price"")"),183.69)</f>
        <v>183.69</v>
      </c>
      <c r="D8" s="8">
        <f>IFERROR(__xludf.DUMMYFUNCTION("GOOGLEFINANCE(B8,""Volume"")"),9209689.0)</f>
        <v>9209689</v>
      </c>
      <c r="E8" s="7">
        <v>20.0</v>
      </c>
      <c r="F8" s="9" t="str">
        <f>IFERROR(__xludf.DUMMYFUNCTION("IF(D8&gt;AVERAGE(INDEX(GOOGLEFINANCE(B8,""volume"",WORKDAY(TODAY(),-$E$2),TODAY()),,2)),""Breakout"","""")"),"")</f>
        <v/>
      </c>
      <c r="G8" s="8">
        <f>IFERROR(__xludf.DUMMYFUNCTION("AVERAGE(QUERY(SORT(GOOGLEFINANCE(B8,""price"",TODAY()-365,TODAY()),1,0),""select Col2 limit 10""))"),192.446)</f>
        <v>192.446</v>
      </c>
      <c r="H8" s="10">
        <f>IFERROR(__xludf.DUMMYFUNCTION("AVERAGE(QUERY(SORT(GOOGLEFINANCE(B8,""price"",TODAY()-365,TODAY()),1,0),""select Col2 limit 30""))"),202.43533333333338)</f>
        <v>202.4353333</v>
      </c>
      <c r="I8" s="10">
        <f>IFERROR(__xludf.DUMMYFUNCTION("AVERAGE(QUERY(SORT(GOOGLEFINANCE(B8,""price"",TODAY()-365,TODAY()),1,0),""select Col2 limit 60""))"),196.70266666666663)</f>
        <v>196.7026667</v>
      </c>
      <c r="J8" s="10">
        <f>IFERROR(__xludf.DUMMYFUNCTION("AVERAGE(QUERY(SORT(GOOGLEFINANCE(B8,""price"",TODAY()-365,TODAY()),1,0),""select Col2 limit 90""))"),196.4614444444444)</f>
        <v>196.4614444</v>
      </c>
      <c r="K8" s="10">
        <f>IFERROR(__xludf.DUMMYFUNCTION("AVERAGE(QUERY(SORT(GOOGLEFINANCE(B8,""price"",TODAY()-365,TODAY()),1,0),""select Col2 limit 120""))"),185.30933333333323)</f>
        <v>185.3093333</v>
      </c>
      <c r="L8" s="10">
        <f>IFERROR(__xludf.DUMMYFUNCTION("AVERAGE(QUERY(SORT(GOOGLEFINANCE(B8,""price"",TODAY()-365,TODAY()),1,0),""select Col2 limit 200""))"),158.3393499999999)</f>
        <v>158.33935</v>
      </c>
      <c r="M8" s="11" t="str">
        <f t="shared" si="2"/>
        <v>Best for Sell Below 200 DMA</v>
      </c>
    </row>
    <row r="9">
      <c r="A9" s="5" t="s">
        <v>20</v>
      </c>
      <c r="B9" s="6" t="str">
        <f t="shared" si="1"/>
        <v>NSE:IDEA</v>
      </c>
      <c r="C9" s="7">
        <f>IFERROR(__xludf.DUMMYFUNCTION("GOOGLEFINANCE(B9,""price"")"),8.1)</f>
        <v>8.1</v>
      </c>
      <c r="D9" s="8">
        <f>IFERROR(__xludf.DUMMYFUNCTION("GOOGLEFINANCE(B9,""Volume"")"),2.64056426E8)</f>
        <v>264056426</v>
      </c>
      <c r="E9" s="7">
        <v>20.0</v>
      </c>
      <c r="F9" s="9" t="str">
        <f>IFERROR(__xludf.DUMMYFUNCTION("IF(D9&gt;AVERAGE(INDEX(GOOGLEFINANCE(B9,""volume"",WORKDAY(TODAY(),-$E$2),TODAY()),,2)),""Breakout"","""")"),"")</f>
        <v/>
      </c>
      <c r="G9" s="8">
        <f>IFERROR(__xludf.DUMMYFUNCTION("AVERAGE(QUERY(SORT(GOOGLEFINANCE(B9,""price"",TODAY()-365,TODAY()),1,0),""select Col2 limit 10""))"),8.197)</f>
        <v>8.197</v>
      </c>
      <c r="H9" s="10">
        <f>IFERROR(__xludf.DUMMYFUNCTION("AVERAGE(QUERY(SORT(GOOGLEFINANCE(B9,""price"",TODAY()-365,TODAY()),1,0),""select Col2 limit 30""))"),9.293000000000001)</f>
        <v>9.293</v>
      </c>
      <c r="I9" s="10">
        <f>IFERROR(__xludf.DUMMYFUNCTION("AVERAGE(QUERY(SORT(GOOGLEFINANCE(B9,""price"",TODAY()-365,TODAY()),1,0),""select Col2 limit 60""))"),12.145000000000005)</f>
        <v>12.145</v>
      </c>
      <c r="J9" s="10">
        <f>IFERROR(__xludf.DUMMYFUNCTION("AVERAGE(QUERY(SORT(GOOGLEFINANCE(B9,""price"",TODAY()-365,TODAY()),1,0),""select Col2 limit 90""))"),13.604444444444443)</f>
        <v>13.60444444</v>
      </c>
      <c r="K9" s="10">
        <f>IFERROR(__xludf.DUMMYFUNCTION("AVERAGE(QUERY(SORT(GOOGLEFINANCE(B9,""price"",TODAY()-365,TODAY()),1,0),""select Col2 limit 120""))"),13.948583333333328)</f>
        <v>13.94858333</v>
      </c>
      <c r="L9" s="10">
        <f>IFERROR(__xludf.DUMMYFUNCTION("AVERAGE(QUERY(SORT(GOOGLEFINANCE(B9,""price"",TODAY()-365,TODAY()),1,0),""select Col2 limit 200""))"),14.03915)</f>
        <v>14.03915</v>
      </c>
      <c r="M9" s="11" t="str">
        <f t="shared" si="2"/>
        <v>Avoid</v>
      </c>
    </row>
    <row r="10">
      <c r="A10" s="5" t="s">
        <v>21</v>
      </c>
      <c r="B10" s="6" t="str">
        <f t="shared" si="1"/>
        <v>NSE:SBIN</v>
      </c>
      <c r="C10" s="7">
        <f>IFERROR(__xludf.DUMMYFUNCTION("GOOGLEFINANCE(B10,""price"")"),810.85)</f>
        <v>810.85</v>
      </c>
      <c r="D10" s="8">
        <f>IFERROR(__xludf.DUMMYFUNCTION("GOOGLEFINANCE(B10,""Volume"")"),4403323.0)</f>
        <v>4403323</v>
      </c>
      <c r="E10" s="7">
        <v>20.0</v>
      </c>
      <c r="F10" s="9" t="str">
        <f>IFERROR(__xludf.DUMMYFUNCTION("IF(D10&gt;AVERAGE(INDEX(GOOGLEFINANCE(B10,""volume"",WORKDAY(TODAY(),-$E$2),TODAY()),,2)),""Breakout"","""")"),"")</f>
        <v/>
      </c>
      <c r="G10" s="8">
        <f>IFERROR(__xludf.DUMMYFUNCTION("AVERAGE(QUERY(SORT(GOOGLEFINANCE(B10,""price"",TODAY()-365,TODAY()),1,0),""select Col2 limit 10""))"),805.365)</f>
        <v>805.365</v>
      </c>
      <c r="H10" s="10">
        <f>IFERROR(__xludf.DUMMYFUNCTION("AVERAGE(QUERY(SORT(GOOGLEFINANCE(B10,""price"",TODAY()-365,TODAY()),1,0),""select Col2 limit 30""))"),799.0416666666666)</f>
        <v>799.0416667</v>
      </c>
      <c r="I10" s="10">
        <f>IFERROR(__xludf.DUMMYFUNCTION("AVERAGE(QUERY(SORT(GOOGLEFINANCE(B10,""price"",TODAY()-365,TODAY()),1,0),""select Col2 limit 60""))"),802.219166666667)</f>
        <v>802.2191667</v>
      </c>
      <c r="J10" s="10">
        <f>IFERROR(__xludf.DUMMYFUNCTION("AVERAGE(QUERY(SORT(GOOGLEFINANCE(B10,""price"",TODAY()-365,TODAY()),1,0),""select Col2 limit 90""))"),819.8777777777777)</f>
        <v>819.8777778</v>
      </c>
      <c r="K10" s="10">
        <f>IFERROR(__xludf.DUMMYFUNCTION("AVERAGE(QUERY(SORT(GOOGLEFINANCE(B10,""price"",TODAY()-365,TODAY()),1,0),""select Col2 limit 120""))"),822.12125)</f>
        <v>822.12125</v>
      </c>
      <c r="L10" s="10">
        <f>IFERROR(__xludf.DUMMYFUNCTION("AVERAGE(QUERY(SORT(GOOGLEFINANCE(B10,""price"",TODAY()-365,TODAY()),1,0),""select Col2 limit 200""))"),785.8380000000001)</f>
        <v>785.838</v>
      </c>
      <c r="M10" s="11" t="str">
        <f t="shared" si="2"/>
        <v>Avoid</v>
      </c>
    </row>
    <row r="11">
      <c r="A11" s="5" t="s">
        <v>22</v>
      </c>
      <c r="B11" s="6" t="str">
        <f t="shared" si="1"/>
        <v>NSE:COCHINSHIP</v>
      </c>
      <c r="C11" s="7">
        <f>IFERROR(__xludf.DUMMYFUNCTION("GOOGLEFINANCE(B11,""price"")"),1480.0)</f>
        <v>1480</v>
      </c>
      <c r="D11" s="8">
        <f>IFERROR(__xludf.DUMMYFUNCTION("GOOGLEFINANCE(B11,""Volume"")"),223569.0)</f>
        <v>223569</v>
      </c>
      <c r="E11" s="7">
        <v>20.0</v>
      </c>
      <c r="F11" s="9" t="str">
        <f>IFERROR(__xludf.DUMMYFUNCTION("IF(D11&gt;AVERAGE(INDEX(GOOGLEFINANCE(B11,""volume"",WORKDAY(TODAY(),-$E$2),TODAY()),,2)),""Breakout"","""")"),"")</f>
        <v/>
      </c>
      <c r="G11" s="8">
        <f>IFERROR(__xludf.DUMMYFUNCTION("AVERAGE(QUERY(SORT(GOOGLEFINANCE(B11,""price"",TODAY()-365,TODAY()),1,0),""select Col2 limit 10""))"),1447.065)</f>
        <v>1447.065</v>
      </c>
      <c r="H11" s="10">
        <f>IFERROR(__xludf.DUMMYFUNCTION("AVERAGE(QUERY(SORT(GOOGLEFINANCE(B11,""price"",TODAY()-365,TODAY()),1,0),""select Col2 limit 30""))"),1605.9316666666666)</f>
        <v>1605.931667</v>
      </c>
      <c r="I11" s="10">
        <f>IFERROR(__xludf.DUMMYFUNCTION("AVERAGE(QUERY(SORT(GOOGLEFINANCE(B11,""price"",TODAY()-365,TODAY()),1,0),""select Col2 limit 60""))"),1807.4449999999995)</f>
        <v>1807.445</v>
      </c>
      <c r="J11" s="10">
        <f>IFERROR(__xludf.DUMMYFUNCTION("AVERAGE(QUERY(SORT(GOOGLEFINANCE(B11,""price"",TODAY()-365,TODAY()),1,0),""select Col2 limit 90""))"),2054.5772222222217)</f>
        <v>2054.577222</v>
      </c>
      <c r="K11" s="10">
        <f>IFERROR(__xludf.DUMMYFUNCTION("AVERAGE(QUERY(SORT(GOOGLEFINANCE(B11,""price"",TODAY()-365,TODAY()),1,0),""select Col2 limit 120""))"),1998.582083333333)</f>
        <v>1998.582083</v>
      </c>
      <c r="L11" s="10">
        <f>IFERROR(__xludf.DUMMYFUNCTION("AVERAGE(QUERY(SORT(GOOGLEFINANCE(B11,""price"",TODAY()-365,TODAY()),1,0),""select Col2 limit 200""))"),1581.3851499999996)</f>
        <v>1581.38515</v>
      </c>
      <c r="M11" s="11" t="str">
        <f t="shared" si="2"/>
        <v>Avoid</v>
      </c>
    </row>
    <row r="12">
      <c r="A12" s="5" t="s">
        <v>23</v>
      </c>
      <c r="B12" s="6" t="str">
        <f t="shared" si="1"/>
        <v>NSE:INFY</v>
      </c>
      <c r="C12" s="7">
        <f>IFERROR(__xludf.DUMMYFUNCTION("GOOGLEFINANCE(B12,""price"")"),1747.25)</f>
        <v>1747.25</v>
      </c>
      <c r="D12" s="8">
        <f>IFERROR(__xludf.DUMMYFUNCTION("GOOGLEFINANCE(B12,""Volume"")"),4282108.0)</f>
        <v>4282108</v>
      </c>
      <c r="E12" s="7">
        <v>20.0</v>
      </c>
      <c r="F12" s="9" t="str">
        <f>IFERROR(__xludf.DUMMYFUNCTION("IF(D12&gt;AVERAGE(INDEX(GOOGLEFINANCE(B12,""volume"",WORKDAY(TODAY(),-$E$2),TODAY()),,2)),""Breakout"","""")"),"")</f>
        <v/>
      </c>
      <c r="G12" s="8">
        <f>IFERROR(__xludf.DUMMYFUNCTION("AVERAGE(QUERY(SORT(GOOGLEFINANCE(B12,""price"",TODAY()-365,TODAY()),1,0),""select Col2 limit 10""))"),1844.675)</f>
        <v>1844.675</v>
      </c>
      <c r="H12" s="10">
        <f>IFERROR(__xludf.DUMMYFUNCTION("AVERAGE(QUERY(SORT(GOOGLEFINANCE(B12,""price"",TODAY()-365,TODAY()),1,0),""select Col2 limit 30""))"),1894.388333333333)</f>
        <v>1894.388333</v>
      </c>
      <c r="I12" s="10">
        <f>IFERROR(__xludf.DUMMYFUNCTION("AVERAGE(QUERY(SORT(GOOGLEFINANCE(B12,""price"",TODAY()-365,TODAY()),1,0),""select Col2 limit 60""))"),1890.4749999999995)</f>
        <v>1890.475</v>
      </c>
      <c r="J12" s="10">
        <f>IFERROR(__xludf.DUMMYFUNCTION("AVERAGE(QUERY(SORT(GOOGLEFINANCE(B12,""price"",TODAY()-365,TODAY()),1,0),""select Col2 limit 90""))"),1834.2549999999994)</f>
        <v>1834.255</v>
      </c>
      <c r="K12" s="10">
        <f>IFERROR(__xludf.DUMMYFUNCTION("AVERAGE(QUERY(SORT(GOOGLEFINANCE(B12,""price"",TODAY()-365,TODAY()),1,0),""select Col2 limit 120""))"),1741.73)</f>
        <v>1741.73</v>
      </c>
      <c r="L12" s="10">
        <f>IFERROR(__xludf.DUMMYFUNCTION("AVERAGE(QUERY(SORT(GOOGLEFINANCE(B12,""price"",TODAY()-365,TODAY()),1,0),""select Col2 limit 200""))"),1674.19975)</f>
        <v>1674.19975</v>
      </c>
      <c r="M12" s="11" t="str">
        <f t="shared" si="2"/>
        <v>Avoid</v>
      </c>
    </row>
    <row r="13">
      <c r="A13" s="5" t="s">
        <v>24</v>
      </c>
      <c r="B13" s="6" t="str">
        <f t="shared" si="1"/>
        <v>NSE:HAL</v>
      </c>
      <c r="C13" s="7">
        <f>IFERROR(__xludf.DUMMYFUNCTION("GOOGLEFINANCE(B13,""price"")"),4235.05)</f>
        <v>4235.05</v>
      </c>
      <c r="D13" s="8">
        <f>IFERROR(__xludf.DUMMYFUNCTION("GOOGLEFINANCE(B13,""Volume"")"),674096.0)</f>
        <v>674096</v>
      </c>
      <c r="E13" s="7">
        <v>20.0</v>
      </c>
      <c r="F13" s="9" t="str">
        <f>IFERROR(__xludf.DUMMYFUNCTION("IF(D13&gt;AVERAGE(INDEX(GOOGLEFINANCE(B13,""volume"",WORKDAY(TODAY(),-$E$2),TODAY()),,2)),""Breakout"","""")"),"")</f>
        <v/>
      </c>
      <c r="G13" s="8">
        <f>IFERROR(__xludf.DUMMYFUNCTION("AVERAGE(QUERY(SORT(GOOGLEFINANCE(B13,""price"",TODAY()-365,TODAY()),1,0),""select Col2 limit 10""))"),4284.359999999999)</f>
        <v>4284.36</v>
      </c>
      <c r="H13" s="10">
        <f>IFERROR(__xludf.DUMMYFUNCTION("AVERAGE(QUERY(SORT(GOOGLEFINANCE(B13,""price"",TODAY()-365,TODAY()),1,0),""select Col2 limit 30""))"),4365.321666666666)</f>
        <v>4365.321667</v>
      </c>
      <c r="I13" s="10">
        <f>IFERROR(__xludf.DUMMYFUNCTION("AVERAGE(QUERY(SORT(GOOGLEFINANCE(B13,""price"",TODAY()-365,TODAY()),1,0),""select Col2 limit 60""))"),4531.521666666667)</f>
        <v>4531.521667</v>
      </c>
      <c r="J13" s="10">
        <f>IFERROR(__xludf.DUMMYFUNCTION("AVERAGE(QUERY(SORT(GOOGLEFINANCE(B13,""price"",TODAY()-365,TODAY()),1,0),""select Col2 limit 90""))"),4740.582222222221)</f>
        <v>4740.582222</v>
      </c>
      <c r="K13" s="10">
        <f>IFERROR(__xludf.DUMMYFUNCTION("AVERAGE(QUERY(SORT(GOOGLEFINANCE(B13,""price"",TODAY()-365,TODAY()),1,0),""select Col2 limit 120""))"),4764.127083333331)</f>
        <v>4764.127083</v>
      </c>
      <c r="L13" s="10">
        <f>IFERROR(__xludf.DUMMYFUNCTION("AVERAGE(QUERY(SORT(GOOGLEFINANCE(B13,""price"",TODAY()-365,TODAY()),1,0),""select Col2 limit 200""))"),4169.3857499999995)</f>
        <v>4169.38575</v>
      </c>
      <c r="M13" s="11" t="str">
        <f t="shared" si="2"/>
        <v>Best for Sell Below 200 DMA</v>
      </c>
    </row>
    <row r="14">
      <c r="A14" s="5" t="s">
        <v>25</v>
      </c>
      <c r="B14" s="6" t="str">
        <f t="shared" si="1"/>
        <v>NSE:CUMMINSIND</v>
      </c>
      <c r="C14" s="7">
        <f>IFERROR(__xludf.DUMMYFUNCTION("GOOGLEFINANCE(B14,""price"")"),3472.35)</f>
        <v>3472.35</v>
      </c>
      <c r="D14" s="8">
        <f>IFERROR(__xludf.DUMMYFUNCTION("GOOGLEFINANCE(B14,""Volume"")"),148937.0)</f>
        <v>148937</v>
      </c>
      <c r="E14" s="7">
        <v>20.0</v>
      </c>
      <c r="F14" s="9" t="str">
        <f>IFERROR(__xludf.DUMMYFUNCTION("IF(D14&gt;AVERAGE(INDEX(GOOGLEFINANCE(B14,""volume"",WORKDAY(TODAY(),-$E$2),TODAY()),,2)),""Breakout"","""")"),"")</f>
        <v/>
      </c>
      <c r="G14" s="8">
        <f>IFERROR(__xludf.DUMMYFUNCTION("AVERAGE(QUERY(SORT(GOOGLEFINANCE(B14,""price"",TODAY()-365,TODAY()),1,0),""select Col2 limit 10""))"),3492.34)</f>
        <v>3492.34</v>
      </c>
      <c r="H14" s="10">
        <f>IFERROR(__xludf.DUMMYFUNCTION("AVERAGE(QUERY(SORT(GOOGLEFINANCE(B14,""price"",TODAY()-365,TODAY()),1,0),""select Col2 limit 30""))"),3662.6616666666673)</f>
        <v>3662.661667</v>
      </c>
      <c r="I14" s="10">
        <f>IFERROR(__xludf.DUMMYFUNCTION("AVERAGE(QUERY(SORT(GOOGLEFINANCE(B14,""price"",TODAY()-365,TODAY()),1,0),""select Col2 limit 60""))"),3721.3100000000018)</f>
        <v>3721.31</v>
      </c>
      <c r="J14" s="10">
        <f>IFERROR(__xludf.DUMMYFUNCTION("AVERAGE(QUERY(SORT(GOOGLEFINANCE(B14,""price"",TODAY()-365,TODAY()),1,0),""select Col2 limit 90""))"),3759.568333333333)</f>
        <v>3759.568333</v>
      </c>
      <c r="K14" s="10">
        <f>IFERROR(__xludf.DUMMYFUNCTION("AVERAGE(QUERY(SORT(GOOGLEFINANCE(B14,""price"",TODAY()-365,TODAY()),1,0),""select Col2 limit 120""))"),3740.413333333331)</f>
        <v>3740.413333</v>
      </c>
      <c r="L14" s="10">
        <f>IFERROR(__xludf.DUMMYFUNCTION("AVERAGE(QUERY(SORT(GOOGLEFINANCE(B14,""price"",TODAY()-365,TODAY()),1,0),""select Col2 limit 200""))"),3334.007999999998)</f>
        <v>3334.008</v>
      </c>
      <c r="M14" s="11" t="str">
        <f t="shared" si="2"/>
        <v>Best for Sell Below 200 DMA</v>
      </c>
    </row>
    <row r="15">
      <c r="A15" s="5" t="s">
        <v>26</v>
      </c>
      <c r="B15" s="6" t="str">
        <f t="shared" si="1"/>
        <v>NSE:BEL</v>
      </c>
      <c r="C15" s="7">
        <f>IFERROR(__xludf.DUMMYFUNCTION("GOOGLEFINANCE(B15,""price"")"),285.0)</f>
        <v>285</v>
      </c>
      <c r="D15" s="8">
        <f>IFERROR(__xludf.DUMMYFUNCTION("GOOGLEFINANCE(B15,""Volume"")"),9361205.0)</f>
        <v>9361205</v>
      </c>
      <c r="E15" s="7">
        <v>20.0</v>
      </c>
      <c r="F15" s="9" t="str">
        <f>IFERROR(__xludf.DUMMYFUNCTION("IF(D15&gt;AVERAGE(INDEX(GOOGLEFINANCE(B15,""volume"",WORKDAY(TODAY(),-$E$2),TODAY()),,2)),""Breakout"","""")"),"")</f>
        <v/>
      </c>
      <c r="G15" s="8">
        <f>IFERROR(__xludf.DUMMYFUNCTION("AVERAGE(QUERY(SORT(GOOGLEFINANCE(B15,""price"",TODAY()-365,TODAY()),1,0),""select Col2 limit 10""))"),278.06000000000006)</f>
        <v>278.06</v>
      </c>
      <c r="H15" s="10">
        <f>IFERROR(__xludf.DUMMYFUNCTION("AVERAGE(QUERY(SORT(GOOGLEFINANCE(B15,""price"",TODAY()-365,TODAY()),1,0),""select Col2 limit 30""))"),281.8366666666667)</f>
        <v>281.8366667</v>
      </c>
      <c r="I15" s="10">
        <f>IFERROR(__xludf.DUMMYFUNCTION("AVERAGE(QUERY(SORT(GOOGLEFINANCE(B15,""price"",TODAY()-365,TODAY()),1,0),""select Col2 limit 60""))"),288.9383333333334)</f>
        <v>288.9383333</v>
      </c>
      <c r="J15" s="10">
        <f>IFERROR(__xludf.DUMMYFUNCTION("AVERAGE(QUERY(SORT(GOOGLEFINANCE(B15,""price"",TODAY()-365,TODAY()),1,0),""select Col2 limit 90""))"),297.27166666666665)</f>
        <v>297.2716667</v>
      </c>
      <c r="K15" s="10">
        <f>IFERROR(__xludf.DUMMYFUNCTION("AVERAGE(QUERY(SORT(GOOGLEFINANCE(B15,""price"",TODAY()-365,TODAY()),1,0),""select Col2 limit 120""))"),293.1508333333333)</f>
        <v>293.1508333</v>
      </c>
      <c r="L15" s="10">
        <f>IFERROR(__xludf.DUMMYFUNCTION("AVERAGE(QUERY(SORT(GOOGLEFINANCE(B15,""price"",TODAY()-365,TODAY()),1,0),""select Col2 limit 200""))"),257.5759999999999)</f>
        <v>257.576</v>
      </c>
      <c r="M15" s="11" t="str">
        <f t="shared" si="2"/>
        <v>Avoid</v>
      </c>
    </row>
    <row r="16">
      <c r="A16" s="5" t="s">
        <v>27</v>
      </c>
      <c r="B16" s="6" t="str">
        <f t="shared" si="1"/>
        <v>NSE:RVNL</v>
      </c>
      <c r="C16" s="7">
        <f>IFERROR(__xludf.DUMMYFUNCTION("GOOGLEFINANCE(B16,""price"")"),454.5)</f>
        <v>454.5</v>
      </c>
      <c r="D16" s="8">
        <f>IFERROR(__xludf.DUMMYFUNCTION("GOOGLEFINANCE(B16,""Volume"")"),2655684.0)</f>
        <v>2655684</v>
      </c>
      <c r="E16" s="7">
        <v>20.0</v>
      </c>
      <c r="F16" s="9" t="str">
        <f>IFERROR(__xludf.DUMMYFUNCTION("IF(D16&gt;AVERAGE(INDEX(GOOGLEFINANCE(B16,""volume"",WORKDAY(TODAY(),-$E$2),TODAY()),,2)),""Breakout"","""")"),"")</f>
        <v/>
      </c>
      <c r="G16" s="8">
        <f>IFERROR(__xludf.DUMMYFUNCTION("AVERAGE(QUERY(SORT(GOOGLEFINANCE(B16,""price"",TODAY()-365,TODAY()),1,0),""select Col2 limit 10""))"),449.7700000000001)</f>
        <v>449.77</v>
      </c>
      <c r="H16" s="10">
        <f>IFERROR(__xludf.DUMMYFUNCTION("AVERAGE(QUERY(SORT(GOOGLEFINANCE(B16,""price"",TODAY()-365,TODAY()),1,0),""select Col2 limit 30""))"),484.5100000000001)</f>
        <v>484.51</v>
      </c>
      <c r="I16" s="10">
        <f>IFERROR(__xludf.DUMMYFUNCTION("AVERAGE(QUERY(SORT(GOOGLEFINANCE(B16,""price"",TODAY()-365,TODAY()),1,0),""select Col2 limit 60""))"),525.5258333333335)</f>
        <v>525.5258333</v>
      </c>
      <c r="J16" s="10">
        <f>IFERROR(__xludf.DUMMYFUNCTION("AVERAGE(QUERY(SORT(GOOGLEFINANCE(B16,""price"",TODAY()-365,TODAY()),1,0),""select Col2 limit 90""))"),531.0344444444445)</f>
        <v>531.0344444</v>
      </c>
      <c r="K16" s="10">
        <f>IFERROR(__xludf.DUMMYFUNCTION("AVERAGE(QUERY(SORT(GOOGLEFINANCE(B16,""price"",TODAY()-365,TODAY()),1,0),""select Col2 limit 120""))"),487.80166666666685)</f>
        <v>487.8016667</v>
      </c>
      <c r="L16" s="10">
        <f>IFERROR(__xludf.DUMMYFUNCTION("AVERAGE(QUERY(SORT(GOOGLEFINANCE(B16,""price"",TODAY()-365,TODAY()),1,0),""select Col2 limit 200""))"),396.3057500000002)</f>
        <v>396.30575</v>
      </c>
      <c r="M16" s="11" t="str">
        <f t="shared" si="2"/>
        <v>Avoid</v>
      </c>
    </row>
    <row r="17">
      <c r="A17" s="5" t="s">
        <v>28</v>
      </c>
      <c r="B17" s="6" t="str">
        <f t="shared" si="1"/>
        <v>NSE:TCS</v>
      </c>
      <c r="C17" s="7">
        <f>IFERROR(__xludf.DUMMYFUNCTION("GOOGLEFINANCE(B17,""price"")"),3951.25)</f>
        <v>3951.25</v>
      </c>
      <c r="D17" s="8">
        <f>IFERROR(__xludf.DUMMYFUNCTION("GOOGLEFINANCE(B17,""Volume"")"),1191083.0)</f>
        <v>1191083</v>
      </c>
      <c r="E17" s="7">
        <v>20.0</v>
      </c>
      <c r="F17" s="9" t="str">
        <f>IFERROR(__xludf.DUMMYFUNCTION("IF(D17&gt;AVERAGE(INDEX(GOOGLEFINANCE(B17,""volume"",WORKDAY(TODAY(),-$E$2),TODAY()),,2)),""Breakout"","""")"),"")</f>
        <v/>
      </c>
      <c r="G17" s="8">
        <f>IFERROR(__xludf.DUMMYFUNCTION("AVERAGE(QUERY(SORT(GOOGLEFINANCE(B17,""price"",TODAY()-365,TODAY()),1,0),""select Col2 limit 10""))"),4060.9300000000003)</f>
        <v>4060.93</v>
      </c>
      <c r="H17" s="10">
        <f>IFERROR(__xludf.DUMMYFUNCTION("AVERAGE(QUERY(SORT(GOOGLEFINANCE(B17,""price"",TODAY()-365,TODAY()),1,0),""select Col2 limit 30""))"),4175.3516666666665)</f>
        <v>4175.351667</v>
      </c>
      <c r="I17" s="10">
        <f>IFERROR(__xludf.DUMMYFUNCTION("AVERAGE(QUERY(SORT(GOOGLEFINANCE(B17,""price"",TODAY()-365,TODAY()),1,0),""select Col2 limit 60""))"),4305.925833333333)</f>
        <v>4305.925833</v>
      </c>
      <c r="J17" s="10">
        <f>IFERROR(__xludf.DUMMYFUNCTION("AVERAGE(QUERY(SORT(GOOGLEFINANCE(B17,""price"",TODAY()-365,TODAY()),1,0),""select Col2 limit 90""))"),4250.970555555555)</f>
        <v>4250.970556</v>
      </c>
      <c r="K17" s="10">
        <f>IFERROR(__xludf.DUMMYFUNCTION("AVERAGE(QUERY(SORT(GOOGLEFINANCE(B17,""price"",TODAY()-365,TODAY()),1,0),""select Col2 limit 120""))"),4145.095)</f>
        <v>4145.095</v>
      </c>
      <c r="L17" s="10">
        <f>IFERROR(__xludf.DUMMYFUNCTION("AVERAGE(QUERY(SORT(GOOGLEFINANCE(B17,""price"",TODAY()-365,TODAY()),1,0),""select Col2 limit 200""))"),4073.8157500000025)</f>
        <v>4073.81575</v>
      </c>
      <c r="M17" s="11" t="str">
        <f t="shared" si="2"/>
        <v>Avoid</v>
      </c>
    </row>
    <row r="18">
      <c r="A18" s="5" t="s">
        <v>29</v>
      </c>
      <c r="B18" s="6" t="str">
        <f t="shared" si="1"/>
        <v>NSE:KFINTECH</v>
      </c>
      <c r="C18" s="7">
        <f>IFERROR(__xludf.DUMMYFUNCTION("GOOGLEFINANCE(B18,""price"")"),1003.55)</f>
        <v>1003.55</v>
      </c>
      <c r="D18" s="8">
        <f>IFERROR(__xludf.DUMMYFUNCTION("GOOGLEFINANCE(B18,""Volume"")"),257737.0)</f>
        <v>257737</v>
      </c>
      <c r="E18" s="7">
        <v>20.0</v>
      </c>
      <c r="F18" s="9" t="str">
        <f>IFERROR(__xludf.DUMMYFUNCTION("IF(D18&gt;AVERAGE(INDEX(GOOGLEFINANCE(B18,""volume"",WORKDAY(TODAY(),-$E$2),TODAY()),,2)),""Breakout"","""")"),"")</f>
        <v/>
      </c>
      <c r="G18" s="8">
        <f>IFERROR(__xludf.DUMMYFUNCTION("AVERAGE(QUERY(SORT(GOOGLEFINANCE(B18,""price"",TODAY()-365,TODAY()),1,0),""select Col2 limit 10""))"),989.135)</f>
        <v>989.135</v>
      </c>
      <c r="H18" s="10">
        <f>IFERROR(__xludf.DUMMYFUNCTION("AVERAGE(QUERY(SORT(GOOGLEFINANCE(B18,""price"",TODAY()-365,TODAY()),1,0),""select Col2 limit 30""))"),1034.8566666666668)</f>
        <v>1034.856667</v>
      </c>
      <c r="I18" s="10">
        <f>IFERROR(__xludf.DUMMYFUNCTION("AVERAGE(QUERY(SORT(GOOGLEFINANCE(B18,""price"",TODAY()-365,TODAY()),1,0),""select Col2 limit 60""))"),1023.6408333333335)</f>
        <v>1023.640833</v>
      </c>
      <c r="J18" s="10">
        <f>IFERROR(__xludf.DUMMYFUNCTION("AVERAGE(QUERY(SORT(GOOGLEFINANCE(B18,""price"",TODAY()-365,TODAY()),1,0),""select Col2 limit 90""))"),937.6683333333339)</f>
        <v>937.6683333</v>
      </c>
      <c r="K18" s="10">
        <f>IFERROR(__xludf.DUMMYFUNCTION("AVERAGE(QUERY(SORT(GOOGLEFINANCE(B18,""price"",TODAY()-365,TODAY()),1,0),""select Col2 limit 120""))"),884.2795833333337)</f>
        <v>884.2795833</v>
      </c>
      <c r="L18" s="10">
        <f>IFERROR(__xludf.DUMMYFUNCTION("AVERAGE(QUERY(SORT(GOOGLEFINANCE(B18,""price"",TODAY()-365,TODAY()),1,0),""select Col2 limit 200""))"),784.0317500000003)</f>
        <v>784.03175</v>
      </c>
      <c r="M18" s="11" t="str">
        <f t="shared" si="2"/>
        <v>Avoid</v>
      </c>
    </row>
    <row r="19">
      <c r="A19" s="5" t="s">
        <v>30</v>
      </c>
      <c r="B19" s="6" t="str">
        <f t="shared" si="1"/>
        <v>NSE:LT</v>
      </c>
      <c r="C19" s="7">
        <f>IFERROR(__xludf.DUMMYFUNCTION("GOOGLEFINANCE(B19,""price"")"),3563.15)</f>
        <v>3563.15</v>
      </c>
      <c r="D19" s="8">
        <f>IFERROR(__xludf.DUMMYFUNCTION("GOOGLEFINANCE(B19,""Volume"")"),935648.0)</f>
        <v>935648</v>
      </c>
      <c r="E19" s="7">
        <v>20.0</v>
      </c>
      <c r="F19" s="9" t="str">
        <f>IFERROR(__xludf.DUMMYFUNCTION("IF(D19&gt;AVERAGE(INDEX(GOOGLEFINANCE(B19,""volume"",WORKDAY(TODAY(),-$E$2),TODAY()),,2)),""Breakout"","""")"),"")</f>
        <v/>
      </c>
      <c r="G19" s="8">
        <f>IFERROR(__xludf.DUMMYFUNCTION("AVERAGE(QUERY(SORT(GOOGLEFINANCE(B19,""price"",TODAY()-365,TODAY()),1,0),""select Col2 limit 10""))"),3465.2100000000005)</f>
        <v>3465.21</v>
      </c>
      <c r="H19" s="10">
        <f>IFERROR(__xludf.DUMMYFUNCTION("AVERAGE(QUERY(SORT(GOOGLEFINANCE(B19,""price"",TODAY()-365,TODAY()),1,0),""select Col2 limit 30""))"),3564.3966666666665)</f>
        <v>3564.396667</v>
      </c>
      <c r="I19" s="10">
        <f>IFERROR(__xludf.DUMMYFUNCTION("AVERAGE(QUERY(SORT(GOOGLEFINANCE(B19,""price"",TODAY()-365,TODAY()),1,0),""select Col2 limit 60""))"),3592.6816666666655)</f>
        <v>3592.681667</v>
      </c>
      <c r="J19" s="10">
        <f>IFERROR(__xludf.DUMMYFUNCTION("AVERAGE(QUERY(SORT(GOOGLEFINANCE(B19,""price"",TODAY()-365,TODAY()),1,0),""select Col2 limit 90""))"),3606.0622222222205)</f>
        <v>3606.062222</v>
      </c>
      <c r="K19" s="10">
        <f>IFERROR(__xludf.DUMMYFUNCTION("AVERAGE(QUERY(SORT(GOOGLEFINANCE(B19,""price"",TODAY()-365,TODAY()),1,0),""select Col2 limit 120""))"),3591.699166666666)</f>
        <v>3591.699167</v>
      </c>
      <c r="L19" s="10">
        <f>IFERROR(__xludf.DUMMYFUNCTION("AVERAGE(QUERY(SORT(GOOGLEFINANCE(B19,""price"",TODAY()-365,TODAY()),1,0),""select Col2 limit 200""))"),3573.8062499999983)</f>
        <v>3573.80625</v>
      </c>
      <c r="M19" s="11" t="str">
        <f t="shared" si="2"/>
        <v>Avoid</v>
      </c>
    </row>
    <row r="20">
      <c r="A20" s="5" t="s">
        <v>31</v>
      </c>
      <c r="B20" s="6" t="str">
        <f t="shared" si="1"/>
        <v>NSE:BHARTIARTL</v>
      </c>
      <c r="C20" s="7">
        <f>IFERROR(__xludf.DUMMYFUNCTION("GOOGLEFINANCE(B20,""price"")"),1587.9)</f>
        <v>1587.9</v>
      </c>
      <c r="D20" s="8">
        <f>IFERROR(__xludf.DUMMYFUNCTION("GOOGLEFINANCE(B20,""Volume"")"),2627618.0)</f>
        <v>2627618</v>
      </c>
      <c r="E20" s="7">
        <v>20.0</v>
      </c>
      <c r="F20" s="9" t="str">
        <f>IFERROR(__xludf.DUMMYFUNCTION("IF(D20&gt;AVERAGE(INDEX(GOOGLEFINANCE(B20,""volume"",WORKDAY(TODAY(),-$E$2),TODAY()),,2)),""Breakout"","""")"),"")</f>
        <v/>
      </c>
      <c r="G20" s="8">
        <f>IFERROR(__xludf.DUMMYFUNCTION("AVERAGE(QUERY(SORT(GOOGLEFINANCE(B20,""price"",TODAY()-365,TODAY()),1,0),""select Col2 limit 10""))"),1666.9299999999998)</f>
        <v>1666.93</v>
      </c>
      <c r="H20" s="10">
        <f>IFERROR(__xludf.DUMMYFUNCTION("AVERAGE(QUERY(SORT(GOOGLEFINANCE(B20,""price"",TODAY()-365,TODAY()),1,0),""select Col2 limit 30""))"),1691.758333333333)</f>
        <v>1691.758333</v>
      </c>
      <c r="I20" s="10">
        <f>IFERROR(__xludf.DUMMYFUNCTION("AVERAGE(QUERY(SORT(GOOGLEFINANCE(B20,""price"",TODAY()-365,TODAY()),1,0),""select Col2 limit 60""))"),1613.6466666666668)</f>
        <v>1613.646667</v>
      </c>
      <c r="J20" s="10">
        <f>IFERROR(__xludf.DUMMYFUNCTION("AVERAGE(QUERY(SORT(GOOGLEFINANCE(B20,""price"",TODAY()-365,TODAY()),1,0),""select Col2 limit 90""))"),1561.075)</f>
        <v>1561.075</v>
      </c>
      <c r="K20" s="10">
        <f>IFERROR(__xludf.DUMMYFUNCTION("AVERAGE(QUERY(SORT(GOOGLEFINANCE(B20,""price"",TODAY()-365,TODAY()),1,0),""select Col2 limit 120""))"),1514.3191666666664)</f>
        <v>1514.319167</v>
      </c>
      <c r="L20" s="10">
        <f>IFERROR(__xludf.DUMMYFUNCTION("AVERAGE(QUERY(SORT(GOOGLEFINANCE(B20,""price"",TODAY()-365,TODAY()),1,0),""select Col2 limit 200""))"),1382.9319999999998)</f>
        <v>1382.932</v>
      </c>
      <c r="M20" s="11" t="str">
        <f t="shared" si="2"/>
        <v>Avoid</v>
      </c>
    </row>
    <row r="21">
      <c r="A21" s="5" t="s">
        <v>32</v>
      </c>
      <c r="B21" s="6" t="str">
        <f t="shared" si="1"/>
        <v>NSE:TATAMOTORS</v>
      </c>
      <c r="C21" s="7">
        <f>IFERROR(__xludf.DUMMYFUNCTION("GOOGLEFINANCE(B21,""price"")"),820.25)</f>
        <v>820.25</v>
      </c>
      <c r="D21" s="8">
        <f>IFERROR(__xludf.DUMMYFUNCTION("GOOGLEFINANCE(B21,""Volume"")"),8582897.0)</f>
        <v>8582897</v>
      </c>
      <c r="E21" s="7">
        <v>20.0</v>
      </c>
      <c r="F21" s="9" t="str">
        <f>IFERROR(__xludf.DUMMYFUNCTION("IF(D21&gt;AVERAGE(INDEX(GOOGLEFINANCE(B21,""volume"",WORKDAY(TODAY(),-$E$2),TODAY()),,2)),""Breakout"","""")"),"")</f>
        <v/>
      </c>
      <c r="G21" s="8">
        <f>IFERROR(__xludf.DUMMYFUNCTION("AVERAGE(QUERY(SORT(GOOGLEFINANCE(B21,""price"",TODAY()-365,TODAY()),1,0),""select Col2 limit 10""))"),871.0350000000001)</f>
        <v>871.035</v>
      </c>
      <c r="H21" s="10">
        <f>IFERROR(__xludf.DUMMYFUNCTION("AVERAGE(QUERY(SORT(GOOGLEFINANCE(B21,""price"",TODAY()-365,TODAY()),1,0),""select Col2 limit 30""))"),921.1316666666667)</f>
        <v>921.1316667</v>
      </c>
      <c r="I21" s="10">
        <f>IFERROR(__xludf.DUMMYFUNCTION("AVERAGE(QUERY(SORT(GOOGLEFINANCE(B21,""price"",TODAY()-365,TODAY()),1,0),""select Col2 limit 60""))"),988.0191666666666)</f>
        <v>988.0191667</v>
      </c>
      <c r="J21" s="10">
        <f>IFERROR(__xludf.DUMMYFUNCTION("AVERAGE(QUERY(SORT(GOOGLEFINANCE(B21,""price"",TODAY()-365,TODAY()),1,0),""select Col2 limit 90""))"),1001.9677777777777)</f>
        <v>1001.967778</v>
      </c>
      <c r="K21" s="10">
        <f>IFERROR(__xludf.DUMMYFUNCTION("AVERAGE(QUERY(SORT(GOOGLEFINANCE(B21,""price"",TODAY()-365,TODAY()),1,0),""select Col2 limit 120""))"),991.5037499999999)</f>
        <v>991.50375</v>
      </c>
      <c r="L21" s="10">
        <f>IFERROR(__xludf.DUMMYFUNCTION("AVERAGE(QUERY(SORT(GOOGLEFINANCE(B21,""price"",TODAY()-365,TODAY()),1,0),""select Col2 limit 200""))"),971.6062499999997)</f>
        <v>971.60625</v>
      </c>
      <c r="M21" s="11" t="str">
        <f t="shared" si="2"/>
        <v>Avoid</v>
      </c>
    </row>
    <row r="22">
      <c r="A22" s="5" t="s">
        <v>33</v>
      </c>
      <c r="B22" s="6" t="str">
        <f t="shared" si="1"/>
        <v>NSE:KOTAKBANK</v>
      </c>
      <c r="C22" s="7">
        <f>IFERROR(__xludf.DUMMYFUNCTION("GOOGLEFINANCE(B22,""price"")"),1735.25)</f>
        <v>1735.25</v>
      </c>
      <c r="D22" s="8">
        <f>IFERROR(__xludf.DUMMYFUNCTION("GOOGLEFINANCE(B22,""Volume"")"),1141431.0)</f>
        <v>1141431</v>
      </c>
      <c r="E22" s="7">
        <v>20.0</v>
      </c>
      <c r="F22" s="9" t="str">
        <f>IFERROR(__xludf.DUMMYFUNCTION("IF(D22&gt;AVERAGE(INDEX(GOOGLEFINANCE(B22,""volume"",WORKDAY(TODAY(),-$E$2),TODAY()),,2)),""Breakout"","""")"),"")</f>
        <v/>
      </c>
      <c r="G22" s="8">
        <f>IFERROR(__xludf.DUMMYFUNCTION("AVERAGE(QUERY(SORT(GOOGLEFINANCE(B22,""price"",TODAY()-365,TODAY()),1,0),""select Col2 limit 10""))"),1769.8)</f>
        <v>1769.8</v>
      </c>
      <c r="H22" s="10">
        <f>IFERROR(__xludf.DUMMYFUNCTION("AVERAGE(QUERY(SORT(GOOGLEFINANCE(B22,""price"",TODAY()-365,TODAY()),1,0),""select Col2 limit 30""))"),1835.3683333333329)</f>
        <v>1835.368333</v>
      </c>
      <c r="I22" s="10">
        <f>IFERROR(__xludf.DUMMYFUNCTION("AVERAGE(QUERY(SORT(GOOGLEFINANCE(B22,""price"",TODAY()-365,TODAY()),1,0),""select Col2 limit 60""))"),1814.3474999999999)</f>
        <v>1814.3475</v>
      </c>
      <c r="J22" s="10">
        <f>IFERROR(__xludf.DUMMYFUNCTION("AVERAGE(QUERY(SORT(GOOGLEFINANCE(B22,""price"",TODAY()-365,TODAY()),1,0),""select Col2 limit 90""))"),1811.602222222222)</f>
        <v>1811.602222</v>
      </c>
      <c r="K22" s="10">
        <f>IFERROR(__xludf.DUMMYFUNCTION("AVERAGE(QUERY(SORT(GOOGLEFINANCE(B22,""price"",TODAY()-365,TODAY()),1,0),""select Col2 limit 120""))"),1785.2529166666666)</f>
        <v>1785.252917</v>
      </c>
      <c r="L22" s="10">
        <f>IFERROR(__xludf.DUMMYFUNCTION("AVERAGE(QUERY(SORT(GOOGLEFINANCE(B22,""price"",TODAY()-365,TODAY()),1,0),""select Col2 limit 200""))"),1772.0990000000002)</f>
        <v>1772.099</v>
      </c>
      <c r="M22" s="11" t="str">
        <f t="shared" si="2"/>
        <v>Avoid</v>
      </c>
    </row>
    <row r="23">
      <c r="A23" s="5" t="s">
        <v>34</v>
      </c>
      <c r="B23" s="6" t="str">
        <f t="shared" si="1"/>
        <v>NSE:EMAMILTD</v>
      </c>
      <c r="C23" s="7">
        <f>IFERROR(__xludf.DUMMYFUNCTION("GOOGLEFINANCE(B23,""price"")"),676.95)</f>
        <v>676.95</v>
      </c>
      <c r="D23" s="8">
        <f>IFERROR(__xludf.DUMMYFUNCTION("GOOGLEFINANCE(B23,""Volume"")"),298405.0)</f>
        <v>298405</v>
      </c>
      <c r="E23" s="7">
        <v>20.0</v>
      </c>
      <c r="F23" s="9" t="str">
        <f>IFERROR(__xludf.DUMMYFUNCTION("IF(D23&gt;AVERAGE(INDEX(GOOGLEFINANCE(B23,""volume"",WORKDAY(TODAY(),-$E$2),TODAY()),,2)),""Breakout"","""")"),"")</f>
        <v/>
      </c>
      <c r="G23" s="8">
        <f>IFERROR(__xludf.DUMMYFUNCTION("AVERAGE(QUERY(SORT(GOOGLEFINANCE(B23,""price"",TODAY()-365,TODAY()),1,0),""select Col2 limit 10""))"),668.5000000000001)</f>
        <v>668.5</v>
      </c>
      <c r="H23" s="10">
        <f>IFERROR(__xludf.DUMMYFUNCTION("AVERAGE(QUERY(SORT(GOOGLEFINANCE(B23,""price"",TODAY()-365,TODAY()),1,0),""select Col2 limit 30""))"),718.7750000000001)</f>
        <v>718.775</v>
      </c>
      <c r="I23" s="10">
        <f>IFERROR(__xludf.DUMMYFUNCTION("AVERAGE(QUERY(SORT(GOOGLEFINANCE(B23,""price"",TODAY()-365,TODAY()),1,0),""select Col2 limit 60""))"),762.815)</f>
        <v>762.815</v>
      </c>
      <c r="J23" s="10">
        <f>IFERROR(__xludf.DUMMYFUNCTION("AVERAGE(QUERY(SORT(GOOGLEFINANCE(B23,""price"",TODAY()-365,TODAY()),1,0),""select Col2 limit 90""))"),763.34)</f>
        <v>763.34</v>
      </c>
      <c r="K23" s="10">
        <f>IFERROR(__xludf.DUMMYFUNCTION("AVERAGE(QUERY(SORT(GOOGLEFINANCE(B23,""price"",TODAY()-365,TODAY()),1,0),""select Col2 limit 120""))"),727.8241666666668)</f>
        <v>727.8241667</v>
      </c>
      <c r="L23" s="10">
        <f>IFERROR(__xludf.DUMMYFUNCTION("AVERAGE(QUERY(SORT(GOOGLEFINANCE(B23,""price"",TODAY()-365,TODAY()),1,0),""select Col2 limit 200""))"),625.5675000000001)</f>
        <v>625.5675</v>
      </c>
      <c r="M23" s="11" t="str">
        <f t="shared" si="2"/>
        <v>Avoid</v>
      </c>
    </row>
    <row r="24">
      <c r="A24" s="5" t="s">
        <v>35</v>
      </c>
      <c r="B24" s="6" t="str">
        <f t="shared" si="1"/>
        <v>NSE:INDIGO</v>
      </c>
      <c r="C24" s="7">
        <f>IFERROR(__xludf.DUMMYFUNCTION("GOOGLEFINANCE(B24,""price"")"),3933.15)</f>
        <v>3933.15</v>
      </c>
      <c r="D24" s="8">
        <f>IFERROR(__xludf.DUMMYFUNCTION("GOOGLEFINANCE(B24,""Volume"")"),603098.0)</f>
        <v>603098</v>
      </c>
      <c r="E24" s="7">
        <v>20.0</v>
      </c>
      <c r="F24" s="9" t="str">
        <f>IFERROR(__xludf.DUMMYFUNCTION("IF(D24&gt;AVERAGE(INDEX(GOOGLEFINANCE(B24,""volume"",WORKDAY(TODAY(),-$E$2),TODAY()),,2)),""Breakout"","""")"),"")</f>
        <v/>
      </c>
      <c r="G24" s="8">
        <f>IFERROR(__xludf.DUMMYFUNCTION("AVERAGE(QUERY(SORT(GOOGLEFINANCE(B24,""price"",TODAY()-365,TODAY()),1,0),""select Col2 limit 10""))"),4333.68)</f>
        <v>4333.68</v>
      </c>
      <c r="H24" s="10">
        <f>IFERROR(__xludf.DUMMYFUNCTION("AVERAGE(QUERY(SORT(GOOGLEFINANCE(B24,""price"",TODAY()-365,TODAY()),1,0),""select Col2 limit 30""))"),4613.336666666667)</f>
        <v>4613.336667</v>
      </c>
      <c r="I24" s="10">
        <f>IFERROR(__xludf.DUMMYFUNCTION("AVERAGE(QUERY(SORT(GOOGLEFINANCE(B24,""price"",TODAY()-365,TODAY()),1,0),""select Col2 limit 60""))"),4624.8791666666675)</f>
        <v>4624.879167</v>
      </c>
      <c r="J24" s="10">
        <f>IFERROR(__xludf.DUMMYFUNCTION("AVERAGE(QUERY(SORT(GOOGLEFINANCE(B24,""price"",TODAY()-365,TODAY()),1,0),""select Col2 limit 90""))"),4525.482222222225)</f>
        <v>4525.482222</v>
      </c>
      <c r="K24" s="10">
        <f>IFERROR(__xludf.DUMMYFUNCTION("AVERAGE(QUERY(SORT(GOOGLEFINANCE(B24,""price"",TODAY()-365,TODAY()),1,0),""select Col2 limit 120""))"),4460.333333333335)</f>
        <v>4460.333333</v>
      </c>
      <c r="L24" s="10">
        <f>IFERROR(__xludf.DUMMYFUNCTION("AVERAGE(QUERY(SORT(GOOGLEFINANCE(B24,""price"",TODAY()-365,TODAY()),1,0),""select Col2 limit 200""))"),4007.5447500000037)</f>
        <v>4007.54475</v>
      </c>
      <c r="M24" s="11" t="str">
        <f t="shared" si="2"/>
        <v>Avoid</v>
      </c>
    </row>
    <row r="25">
      <c r="A25" s="5" t="s">
        <v>36</v>
      </c>
      <c r="B25" s="6" t="str">
        <f t="shared" si="1"/>
        <v>NSE:ITC</v>
      </c>
      <c r="C25" s="7">
        <f>IFERROR(__xludf.DUMMYFUNCTION("GOOGLEFINANCE(B25,""price"")"),482.65)</f>
        <v>482.65</v>
      </c>
      <c r="D25" s="8">
        <f>IFERROR(__xludf.DUMMYFUNCTION("GOOGLEFINANCE(B25,""Volume"")"),4522231.0)</f>
        <v>4522231</v>
      </c>
      <c r="E25" s="7">
        <v>20.0</v>
      </c>
      <c r="F25" s="9" t="str">
        <f>IFERROR(__xludf.DUMMYFUNCTION("IF(D25&gt;AVERAGE(INDEX(GOOGLEFINANCE(B25,""volume"",WORKDAY(TODAY(),-$E$2),TODAY()),,2)),""Breakout"","""")"),"")</f>
        <v/>
      </c>
      <c r="G25" s="8">
        <f>IFERROR(__xludf.DUMMYFUNCTION("AVERAGE(QUERY(SORT(GOOGLEFINANCE(B25,""price"",TODAY()-365,TODAY()),1,0),""select Col2 limit 10""))"),483.895)</f>
        <v>483.895</v>
      </c>
      <c r="H25" s="10">
        <f>IFERROR(__xludf.DUMMYFUNCTION("AVERAGE(QUERY(SORT(GOOGLEFINANCE(B25,""price"",TODAY()-365,TODAY()),1,0),""select Col2 limit 30""))"),499.17166666666674)</f>
        <v>499.1716667</v>
      </c>
      <c r="I25" s="10">
        <f>IFERROR(__xludf.DUMMYFUNCTION("AVERAGE(QUERY(SORT(GOOGLEFINANCE(B25,""price"",TODAY()-365,TODAY()),1,0),""select Col2 limit 60""))"),501.70750000000004)</f>
        <v>501.7075</v>
      </c>
      <c r="J25" s="10">
        <f>IFERROR(__xludf.DUMMYFUNCTION("AVERAGE(QUERY(SORT(GOOGLEFINANCE(B25,""price"",TODAY()-365,TODAY()),1,0),""select Col2 limit 90""))"),488.51333333333343)</f>
        <v>488.5133333</v>
      </c>
      <c r="K25" s="10">
        <f>IFERROR(__xludf.DUMMYFUNCTION("AVERAGE(QUERY(SORT(GOOGLEFINANCE(B25,""price"",TODAY()-365,TODAY()),1,0),""select Col2 limit 120""))"),474.02750000000015)</f>
        <v>474.0275</v>
      </c>
      <c r="L25" s="10">
        <f>IFERROR(__xludf.DUMMYFUNCTION("AVERAGE(QUERY(SORT(GOOGLEFINANCE(B25,""price"",TODAY()-365,TODAY()),1,0),""select Col2 limit 200""))"),456.06700000000023)</f>
        <v>456.067</v>
      </c>
      <c r="M25" s="11" t="str">
        <f t="shared" si="2"/>
        <v>Avoid</v>
      </c>
    </row>
    <row r="26">
      <c r="A26" s="5" t="s">
        <v>37</v>
      </c>
      <c r="B26" s="6" t="str">
        <f t="shared" si="1"/>
        <v>NSE:AXISBANK</v>
      </c>
      <c r="C26" s="7">
        <f>IFERROR(__xludf.DUMMYFUNCTION("GOOGLEFINANCE(B26,""price"")"),1149.25)</f>
        <v>1149.25</v>
      </c>
      <c r="D26" s="8">
        <f>IFERROR(__xludf.DUMMYFUNCTION("GOOGLEFINANCE(B26,""Volume"")"),3049638.0)</f>
        <v>3049638</v>
      </c>
      <c r="E26" s="7">
        <v>20.0</v>
      </c>
      <c r="F26" s="9" t="str">
        <f>IFERROR(__xludf.DUMMYFUNCTION("IF(D26&gt;AVERAGE(INDEX(GOOGLEFINANCE(B26,""volume"",WORKDAY(TODAY(),-$E$2),TODAY()),,2)),""Breakout"","""")"),"")</f>
        <v/>
      </c>
      <c r="G26" s="8">
        <f>IFERROR(__xludf.DUMMYFUNCTION("AVERAGE(QUERY(SORT(GOOGLEFINANCE(B26,""price"",TODAY()-365,TODAY()),1,0),""select Col2 limit 10""))"),1176.84)</f>
        <v>1176.84</v>
      </c>
      <c r="H26" s="10">
        <f>IFERROR(__xludf.DUMMYFUNCTION("AVERAGE(QUERY(SORT(GOOGLEFINANCE(B26,""price"",TODAY()-365,TODAY()),1,0),""select Col2 limit 30""))"),1193.4283333333335)</f>
        <v>1193.428333</v>
      </c>
      <c r="I26" s="10">
        <f>IFERROR(__xludf.DUMMYFUNCTION("AVERAGE(QUERY(SORT(GOOGLEFINANCE(B26,""price"",TODAY()-365,TODAY()),1,0),""select Col2 limit 60""))"),1185.5841666666665)</f>
        <v>1185.584167</v>
      </c>
      <c r="J26" s="10">
        <f>IFERROR(__xludf.DUMMYFUNCTION("AVERAGE(QUERY(SORT(GOOGLEFINANCE(B26,""price"",TODAY()-365,TODAY()),1,0),""select Col2 limit 90""))"),1206.0294444444442)</f>
        <v>1206.029444</v>
      </c>
      <c r="K26" s="10">
        <f>IFERROR(__xludf.DUMMYFUNCTION("AVERAGE(QUERY(SORT(GOOGLEFINANCE(B26,""price"",TODAY()-365,TODAY()),1,0),""select Col2 limit 120""))"),1197.905416666666)</f>
        <v>1197.905417</v>
      </c>
      <c r="L26" s="10">
        <f>IFERROR(__xludf.DUMMYFUNCTION("AVERAGE(QUERY(SORT(GOOGLEFINANCE(B26,""price"",TODAY()-365,TODAY()),1,0),""select Col2 limit 200""))"),1151.3852499999998)</f>
        <v>1151.38525</v>
      </c>
      <c r="M26" s="11" t="str">
        <f t="shared" si="2"/>
        <v>Avoid</v>
      </c>
    </row>
    <row r="27">
      <c r="A27" s="5" t="s">
        <v>38</v>
      </c>
      <c r="B27" s="6" t="str">
        <f t="shared" si="1"/>
        <v>NSE:M&amp;M</v>
      </c>
      <c r="C27" s="7">
        <f>IFERROR(__xludf.DUMMYFUNCTION("GOOGLEFINANCE(B27,""price"")"),2862.4)</f>
        <v>2862.4</v>
      </c>
      <c r="D27" s="8">
        <f>IFERROR(__xludf.DUMMYFUNCTION("GOOGLEFINANCE(B27,""Volume"")"),4873679.0)</f>
        <v>4873679</v>
      </c>
      <c r="E27" s="7">
        <v>20.0</v>
      </c>
      <c r="F27" s="9" t="str">
        <f>IFERROR(__xludf.DUMMYFUNCTION("IF(D27&gt;AVERAGE(INDEX(GOOGLEFINANCE(B27,""volume"",WORKDAY(TODAY(),-$E$2),TODAY()),,2)),""Breakout"","""")"),"Breakout")</f>
        <v>Breakout</v>
      </c>
      <c r="G27" s="8">
        <f>IFERROR(__xludf.DUMMYFUNCTION("AVERAGE(QUERY(SORT(GOOGLEFINANCE(B27,""price"",TODAY()-365,TODAY()),1,0),""select Col2 limit 10""))"),2815.45)</f>
        <v>2815.45</v>
      </c>
      <c r="H27" s="10">
        <f>IFERROR(__xludf.DUMMYFUNCTION("AVERAGE(QUERY(SORT(GOOGLEFINANCE(B27,""price"",TODAY()-365,TODAY()),1,0),""select Col2 limit 30""))"),2998.0483333333336)</f>
        <v>2998.048333</v>
      </c>
      <c r="I27" s="10">
        <f>IFERROR(__xludf.DUMMYFUNCTION("AVERAGE(QUERY(SORT(GOOGLEFINANCE(B27,""price"",TODAY()-365,TODAY()),1,0),""select Col2 limit 60""))"),2873.7916666666665)</f>
        <v>2873.791667</v>
      </c>
      <c r="J27" s="10">
        <f>IFERROR(__xludf.DUMMYFUNCTION("AVERAGE(QUERY(SORT(GOOGLEFINANCE(B27,""price"",TODAY()-365,TODAY()),1,0),""select Col2 limit 90""))"),2856.6377777777775)</f>
        <v>2856.637778</v>
      </c>
      <c r="K27" s="10">
        <f>IFERROR(__xludf.DUMMYFUNCTION("AVERAGE(QUERY(SORT(GOOGLEFINANCE(B27,""price"",TODAY()-365,TODAY()),1,0),""select Col2 limit 120""))"),2800.416666666666)</f>
        <v>2800.416667</v>
      </c>
      <c r="L27" s="10">
        <f>IFERROR(__xludf.DUMMYFUNCTION("AVERAGE(QUERY(SORT(GOOGLEFINANCE(B27,""price"",TODAY()-365,TODAY()),1,0),""select Col2 limit 200""))"),2429.084250000001)</f>
        <v>2429.08425</v>
      </c>
      <c r="M27" s="11" t="str">
        <f t="shared" si="2"/>
        <v>Avoid</v>
      </c>
    </row>
    <row r="28">
      <c r="A28" s="5" t="s">
        <v>39</v>
      </c>
      <c r="B28" s="6" t="str">
        <f t="shared" si="1"/>
        <v>NSE:GMRINFRA</v>
      </c>
      <c r="C28" s="7">
        <f>IFERROR(__xludf.DUMMYFUNCTION("GOOGLEFINANCE(B28,""price"")"),77.32)</f>
        <v>77.32</v>
      </c>
      <c r="D28" s="8">
        <f>IFERROR(__xludf.DUMMYFUNCTION("GOOGLEFINANCE(B28,""Volume"")"),6412051.0)</f>
        <v>6412051</v>
      </c>
      <c r="E28" s="7">
        <v>20.0</v>
      </c>
      <c r="F28" s="9" t="str">
        <f>IFERROR(__xludf.DUMMYFUNCTION("IF(D28&gt;AVERAGE(INDEX(GOOGLEFINANCE(B28,""volume"",WORKDAY(TODAY(),-$E$2),TODAY()),,2)),""Breakout"","""")"),"")</f>
        <v/>
      </c>
      <c r="G28" s="8">
        <f>IFERROR(__xludf.DUMMYFUNCTION("AVERAGE(QUERY(SORT(GOOGLEFINANCE(B28,""price"",TODAY()-365,TODAY()),1,0),""select Col2 limit 10""))"),81.01899999999999)</f>
        <v>81.019</v>
      </c>
      <c r="H28" s="10">
        <f>IFERROR(__xludf.DUMMYFUNCTION("AVERAGE(QUERY(SORT(GOOGLEFINANCE(B28,""price"",TODAY()-365,TODAY()),1,0),""select Col2 limit 30""))"),87.67233333333336)</f>
        <v>87.67233333</v>
      </c>
      <c r="I28" s="10">
        <f>IFERROR(__xludf.DUMMYFUNCTION("AVERAGE(QUERY(SORT(GOOGLEFINANCE(B28,""price"",TODAY()-365,TODAY()),1,0),""select Col2 limit 60""))"),91.3255)</f>
        <v>91.3255</v>
      </c>
      <c r="J28" s="10">
        <f>IFERROR(__xludf.DUMMYFUNCTION("AVERAGE(QUERY(SORT(GOOGLEFINANCE(B28,""price"",TODAY()-365,TODAY()),1,0),""select Col2 limit 90""))"),93.15533333333333)</f>
        <v>93.15533333</v>
      </c>
      <c r="K28" s="10">
        <f>IFERROR(__xludf.DUMMYFUNCTION("AVERAGE(QUERY(SORT(GOOGLEFINANCE(B28,""price"",TODAY()-365,TODAY()),1,0),""select Col2 limit 120""))"),91.809)</f>
        <v>91.809</v>
      </c>
      <c r="L28" s="10">
        <f>IFERROR(__xludf.DUMMYFUNCTION("AVERAGE(QUERY(SORT(GOOGLEFINANCE(B28,""price"",TODAY()-365,TODAY()),1,0),""select Col2 limit 200""))"),88.49514999999994)</f>
        <v>88.49515</v>
      </c>
      <c r="M28" s="11" t="str">
        <f t="shared" si="2"/>
        <v>Avoid</v>
      </c>
    </row>
    <row r="29">
      <c r="A29" s="5" t="s">
        <v>40</v>
      </c>
      <c r="B29" s="6" t="str">
        <f t="shared" si="1"/>
        <v>NSE:TITAN</v>
      </c>
      <c r="C29" s="7">
        <f>IFERROR(__xludf.DUMMYFUNCTION("GOOGLEFINANCE(B29,""price"")"),3236.3)</f>
        <v>3236.3</v>
      </c>
      <c r="D29" s="8">
        <f>IFERROR(__xludf.DUMMYFUNCTION("GOOGLEFINANCE(B29,""Volume"")"),573969.0)</f>
        <v>573969</v>
      </c>
      <c r="E29" s="7">
        <v>20.0</v>
      </c>
      <c r="F29" s="9" t="str">
        <f>IFERROR(__xludf.DUMMYFUNCTION("IF(D29&gt;AVERAGE(INDEX(GOOGLEFINANCE(B29,""volume"",WORKDAY(TODAY(),-$E$2),TODAY()),,2)),""Breakout"","""")"),"")</f>
        <v/>
      </c>
      <c r="G29" s="8">
        <f>IFERROR(__xludf.DUMMYFUNCTION("AVERAGE(QUERY(SORT(GOOGLEFINANCE(B29,""price"",TODAY()-365,TODAY()),1,0),""select Col2 limit 10""))"),3310.25)</f>
        <v>3310.25</v>
      </c>
      <c r="H29" s="10">
        <f>IFERROR(__xludf.DUMMYFUNCTION("AVERAGE(QUERY(SORT(GOOGLEFINANCE(B29,""price"",TODAY()-365,TODAY()),1,0),""select Col2 limit 30""))"),3530.681666666666)</f>
        <v>3530.681667</v>
      </c>
      <c r="I29" s="10">
        <f>IFERROR(__xludf.DUMMYFUNCTION("AVERAGE(QUERY(SORT(GOOGLEFINANCE(B29,""price"",TODAY()-365,TODAY()),1,0),""select Col2 limit 60""))"),3550.5083333333328)</f>
        <v>3550.508333</v>
      </c>
      <c r="J29" s="10">
        <f>IFERROR(__xludf.DUMMYFUNCTION("AVERAGE(QUERY(SORT(GOOGLEFINANCE(B29,""price"",TODAY()-365,TODAY()),1,0),""select Col2 limit 90""))"),3483.573888888889)</f>
        <v>3483.573889</v>
      </c>
      <c r="K29" s="10">
        <f>IFERROR(__xludf.DUMMYFUNCTION("AVERAGE(QUERY(SORT(GOOGLEFINANCE(B29,""price"",TODAY()-365,TODAY()),1,0),""select Col2 limit 120""))"),3456.2520833333347)</f>
        <v>3456.252083</v>
      </c>
      <c r="L29" s="10">
        <f>IFERROR(__xludf.DUMMYFUNCTION("AVERAGE(QUERY(SORT(GOOGLEFINANCE(B29,""price"",TODAY()-365,TODAY()),1,0),""select Col2 limit 200""))"),3534.2795000000015)</f>
        <v>3534.2795</v>
      </c>
      <c r="M29" s="11" t="str">
        <f t="shared" si="2"/>
        <v>Avoid</v>
      </c>
    </row>
    <row r="30">
      <c r="A30" s="5" t="s">
        <v>41</v>
      </c>
      <c r="B30" s="6" t="str">
        <f t="shared" si="1"/>
        <v>NSE:IRFC</v>
      </c>
      <c r="C30" s="7">
        <f>IFERROR(__xludf.DUMMYFUNCTION("GOOGLEFINANCE(B30,""price"")"),153.98)</f>
        <v>153.98</v>
      </c>
      <c r="D30" s="8">
        <f>IFERROR(__xludf.DUMMYFUNCTION("GOOGLEFINANCE(B30,""Volume"")"),2.0892994E7)</f>
        <v>20892994</v>
      </c>
      <c r="E30" s="7">
        <v>20.0</v>
      </c>
      <c r="F30" s="9" t="str">
        <f>IFERROR(__xludf.DUMMYFUNCTION("IF(D30&gt;AVERAGE(INDEX(GOOGLEFINANCE(B30,""volume"",WORKDAY(TODAY(),-$E$2),TODAY()),,2)),""Breakout"","""")"),"")</f>
        <v/>
      </c>
      <c r="G30" s="8">
        <f>IFERROR(__xludf.DUMMYFUNCTION("AVERAGE(QUERY(SORT(GOOGLEFINANCE(B30,""price"",TODAY()-365,TODAY()),1,0),""select Col2 limit 10""))"),144.145)</f>
        <v>144.145</v>
      </c>
      <c r="H30" s="10">
        <f>IFERROR(__xludf.DUMMYFUNCTION("AVERAGE(QUERY(SORT(GOOGLEFINANCE(B30,""price"",TODAY()-365,TODAY()),1,0),""select Col2 limit 30""))"),150.6856666666667)</f>
        <v>150.6856667</v>
      </c>
      <c r="I30" s="10">
        <f>IFERROR(__xludf.DUMMYFUNCTION("AVERAGE(QUERY(SORT(GOOGLEFINANCE(B30,""price"",TODAY()-365,TODAY()),1,0),""select Col2 limit 60""))"),163.18850000000003)</f>
        <v>163.1885</v>
      </c>
      <c r="J30" s="10">
        <f>IFERROR(__xludf.DUMMYFUNCTION("AVERAGE(QUERY(SORT(GOOGLEFINANCE(B30,""price"",TODAY()-365,TODAY()),1,0),""select Col2 limit 90""))"),172.4481111111111)</f>
        <v>172.4481111</v>
      </c>
      <c r="K30" s="10">
        <f>IFERROR(__xludf.DUMMYFUNCTION("AVERAGE(QUERY(SORT(GOOGLEFINANCE(B30,""price"",TODAY()-365,TODAY()),1,0),""select Col2 limit 120""))"),172.47525)</f>
        <v>172.47525</v>
      </c>
      <c r="L30" s="10">
        <f>IFERROR(__xludf.DUMMYFUNCTION("AVERAGE(QUERY(SORT(GOOGLEFINANCE(B30,""price"",TODAY()-365,TODAY()),1,0),""select Col2 limit 200""))"),162.3709)</f>
        <v>162.3709</v>
      </c>
      <c r="M30" s="11" t="str">
        <f t="shared" si="2"/>
        <v>Avoid</v>
      </c>
    </row>
    <row r="31">
      <c r="A31" s="5" t="s">
        <v>42</v>
      </c>
      <c r="B31" s="6" t="str">
        <f t="shared" si="1"/>
        <v>NSE:NHPC</v>
      </c>
      <c r="C31" s="7">
        <f>IFERROR(__xludf.DUMMYFUNCTION("GOOGLEFINANCE(B31,""price"")"),83.06)</f>
        <v>83.06</v>
      </c>
      <c r="D31" s="8">
        <f>IFERROR(__xludf.DUMMYFUNCTION("GOOGLEFINANCE(B31,""Volume"")"),8645863.0)</f>
        <v>8645863</v>
      </c>
      <c r="E31" s="7">
        <v>20.0</v>
      </c>
      <c r="F31" s="9" t="str">
        <f>IFERROR(__xludf.DUMMYFUNCTION("IF(D31&gt;AVERAGE(INDEX(GOOGLEFINANCE(B31,""volume"",WORKDAY(TODAY(),-$E$2),TODAY()),,2)),""Breakout"","""")"),"")</f>
        <v/>
      </c>
      <c r="G31" s="8">
        <f>IFERROR(__xludf.DUMMYFUNCTION("AVERAGE(QUERY(SORT(GOOGLEFINANCE(B31,""price"",TODAY()-365,TODAY()),1,0),""select Col2 limit 10""))"),80.575)</f>
        <v>80.575</v>
      </c>
      <c r="H31" s="10">
        <f>IFERROR(__xludf.DUMMYFUNCTION("AVERAGE(QUERY(SORT(GOOGLEFINANCE(B31,""price"",TODAY()-365,TODAY()),1,0),""select Col2 limit 30""))"),88.24466666666667)</f>
        <v>88.24466667</v>
      </c>
      <c r="I31" s="10">
        <f>IFERROR(__xludf.DUMMYFUNCTION("AVERAGE(QUERY(SORT(GOOGLEFINANCE(B31,""price"",TODAY()-365,TODAY()),1,0),""select Col2 limit 60""))"),92.26650000000001)</f>
        <v>92.2665</v>
      </c>
      <c r="J31" s="10">
        <f>IFERROR(__xludf.DUMMYFUNCTION("AVERAGE(QUERY(SORT(GOOGLEFINANCE(B31,""price"",TODAY()-365,TODAY()),1,0),""select Col2 limit 90""))"),96.35977777777781)</f>
        <v>96.35977778</v>
      </c>
      <c r="K31" s="10">
        <f>IFERROR(__xludf.DUMMYFUNCTION("AVERAGE(QUERY(SORT(GOOGLEFINANCE(B31,""price"",TODAY()-365,TODAY()),1,0),""select Col2 limit 120""))"),97.60183333333337)</f>
        <v>97.60183333</v>
      </c>
      <c r="L31" s="10">
        <f>IFERROR(__xludf.DUMMYFUNCTION("AVERAGE(QUERY(SORT(GOOGLEFINANCE(B31,""price"",TODAY()-365,TODAY()),1,0),""select Col2 limit 200""))"),94.00860000000004)</f>
        <v>94.0086</v>
      </c>
      <c r="M31" s="11" t="str">
        <f t="shared" si="2"/>
        <v>Avoid</v>
      </c>
    </row>
    <row r="32">
      <c r="A32" s="5" t="s">
        <v>43</v>
      </c>
      <c r="B32" s="6" t="str">
        <f t="shared" si="1"/>
        <v>NSE:BAJFINANCE</v>
      </c>
      <c r="C32" s="7">
        <f>IFERROR(__xludf.DUMMYFUNCTION("GOOGLEFINANCE(B32,""price"")"),6817.95)</f>
        <v>6817.95</v>
      </c>
      <c r="D32" s="8">
        <f>IFERROR(__xludf.DUMMYFUNCTION("GOOGLEFINANCE(B32,""Volume"")"),344712.0)</f>
        <v>344712</v>
      </c>
      <c r="E32" s="7">
        <v>20.0</v>
      </c>
      <c r="F32" s="9" t="str">
        <f>IFERROR(__xludf.DUMMYFUNCTION("IF(D32&gt;AVERAGE(INDEX(GOOGLEFINANCE(B32,""volume"",WORKDAY(TODAY(),-$E$2),TODAY()),,2)),""Breakout"","""")"),"")</f>
        <v/>
      </c>
      <c r="G32" s="8">
        <f>IFERROR(__xludf.DUMMYFUNCTION("AVERAGE(QUERY(SORT(GOOGLEFINANCE(B32,""price"",TODAY()-365,TODAY()),1,0),""select Col2 limit 10""))"),6908.38)</f>
        <v>6908.38</v>
      </c>
      <c r="H32" s="10">
        <f>IFERROR(__xludf.DUMMYFUNCTION("AVERAGE(QUERY(SORT(GOOGLEFINANCE(B32,""price"",TODAY()-365,TODAY()),1,0),""select Col2 limit 30""))"),7235.515000000001)</f>
        <v>7235.515</v>
      </c>
      <c r="I32" s="10">
        <f>IFERROR(__xludf.DUMMYFUNCTION("AVERAGE(QUERY(SORT(GOOGLEFINANCE(B32,""price"",TODAY()-365,TODAY()),1,0),""select Col2 limit 60""))"),7122.4)</f>
        <v>7122.4</v>
      </c>
      <c r="J32" s="10">
        <f>IFERROR(__xludf.DUMMYFUNCTION("AVERAGE(QUERY(SORT(GOOGLEFINANCE(B32,""price"",TODAY()-365,TODAY()),1,0),""select Col2 limit 90""))"),7065.298333333334)</f>
        <v>7065.298333</v>
      </c>
      <c r="K32" s="10">
        <f>IFERROR(__xludf.DUMMYFUNCTION("AVERAGE(QUERY(SORT(GOOGLEFINANCE(B32,""price"",TODAY()-365,TODAY()),1,0),""select Col2 limit 120""))"),7030.019583333334)</f>
        <v>7030.019583</v>
      </c>
      <c r="L32" s="10">
        <f>IFERROR(__xludf.DUMMYFUNCTION("AVERAGE(QUERY(SORT(GOOGLEFINANCE(B32,""price"",TODAY()-365,TODAY()),1,0),""select Col2 limit 200""))"),6983.514999999998)</f>
        <v>6983.515</v>
      </c>
      <c r="M32" s="11" t="str">
        <f t="shared" si="2"/>
        <v>Avoid</v>
      </c>
    </row>
    <row r="33">
      <c r="A33" s="5" t="s">
        <v>44</v>
      </c>
      <c r="B33" s="6" t="str">
        <f t="shared" si="1"/>
        <v>NSE:BDL</v>
      </c>
      <c r="C33" s="7">
        <f>IFERROR(__xludf.DUMMYFUNCTION("GOOGLEFINANCE(B33,""price"")"),1073.25)</f>
        <v>1073.25</v>
      </c>
      <c r="D33" s="8">
        <f>IFERROR(__xludf.DUMMYFUNCTION("GOOGLEFINANCE(B33,""Volume"")"),251983.0)</f>
        <v>251983</v>
      </c>
      <c r="E33" s="7">
        <v>20.0</v>
      </c>
      <c r="F33" s="9" t="str">
        <f>IFERROR(__xludf.DUMMYFUNCTION("IF(D33&gt;AVERAGE(INDEX(GOOGLEFINANCE(B33,""volume"",WORKDAY(TODAY(),-$E$2),TODAY()),,2)),""Breakout"","""")"),"")</f>
        <v/>
      </c>
      <c r="G33" s="8">
        <f>IFERROR(__xludf.DUMMYFUNCTION("AVERAGE(QUERY(SORT(GOOGLEFINANCE(B33,""price"",TODAY()-365,TODAY()),1,0),""select Col2 limit 10""))"),1070.5349999999999)</f>
        <v>1070.535</v>
      </c>
      <c r="H33" s="10">
        <f>IFERROR(__xludf.DUMMYFUNCTION("AVERAGE(QUERY(SORT(GOOGLEFINANCE(B33,""price"",TODAY()-365,TODAY()),1,0),""select Col2 limit 30""))"),1125.791666666667)</f>
        <v>1125.791667</v>
      </c>
      <c r="I33" s="10">
        <f>IFERROR(__xludf.DUMMYFUNCTION("AVERAGE(QUERY(SORT(GOOGLEFINANCE(B33,""price"",TODAY()-365,TODAY()),1,0),""select Col2 limit 60""))"),1213.5783333333334)</f>
        <v>1213.578333</v>
      </c>
      <c r="J33" s="10">
        <f>IFERROR(__xludf.DUMMYFUNCTION("AVERAGE(QUERY(SORT(GOOGLEFINANCE(B33,""price"",TODAY()-365,TODAY()),1,0),""select Col2 limit 90""))"),1324.0766666666668)</f>
        <v>1324.076667</v>
      </c>
      <c r="K33" s="10">
        <f>IFERROR(__xludf.DUMMYFUNCTION("AVERAGE(QUERY(SORT(GOOGLEFINANCE(B33,""price"",TODAY()-365,TODAY()),1,0),""select Col2 limit 120""))"),1338.8979166666672)</f>
        <v>1338.897917</v>
      </c>
      <c r="L33" s="10">
        <f>IFERROR(__xludf.DUMMYFUNCTION("AVERAGE(QUERY(SORT(GOOGLEFINANCE(B33,""price"",TODAY()-365,TODAY()),1,0),""select Col2 limit 200""))"),1158.0370000000005)</f>
        <v>1158.037</v>
      </c>
      <c r="M33" s="11" t="str">
        <f t="shared" si="2"/>
        <v>Avoid</v>
      </c>
    </row>
    <row r="34">
      <c r="A34" s="5" t="s">
        <v>45</v>
      </c>
      <c r="B34" s="6" t="str">
        <f t="shared" si="1"/>
        <v>NSE:KNRCON</v>
      </c>
      <c r="C34" s="7">
        <f>IFERROR(__xludf.DUMMYFUNCTION("GOOGLEFINANCE(B34,""price"")"),289.0)</f>
        <v>289</v>
      </c>
      <c r="D34" s="8">
        <f>IFERROR(__xludf.DUMMYFUNCTION("GOOGLEFINANCE(B34,""Volume"")"),354714.0)</f>
        <v>354714</v>
      </c>
      <c r="E34" s="7">
        <v>20.0</v>
      </c>
      <c r="F34" s="9" t="str">
        <f>IFERROR(__xludf.DUMMYFUNCTION("IF(D34&gt;AVERAGE(INDEX(GOOGLEFINANCE(B34,""volume"",WORKDAY(TODAY(),-$E$2),TODAY()),,2)),""Breakout"","""")"),"")</f>
        <v/>
      </c>
      <c r="G34" s="8">
        <f>IFERROR(__xludf.DUMMYFUNCTION("AVERAGE(QUERY(SORT(GOOGLEFINANCE(B34,""price"",TODAY()-365,TODAY()),1,0),""select Col2 limit 10""))"),294.26)</f>
        <v>294.26</v>
      </c>
      <c r="H34" s="10">
        <f>IFERROR(__xludf.DUMMYFUNCTION("AVERAGE(QUERY(SORT(GOOGLEFINANCE(B34,""price"",TODAY()-365,TODAY()),1,0),""select Col2 limit 30""))"),316.305)</f>
        <v>316.305</v>
      </c>
      <c r="I34" s="10">
        <f>IFERROR(__xludf.DUMMYFUNCTION("AVERAGE(QUERY(SORT(GOOGLEFINANCE(B34,""price"",TODAY()-365,TODAY()),1,0),""select Col2 limit 60""))"),330.07250000000005)</f>
        <v>330.0725</v>
      </c>
      <c r="J34" s="10">
        <f>IFERROR(__xludf.DUMMYFUNCTION("AVERAGE(QUERY(SORT(GOOGLEFINANCE(B34,""price"",TODAY()-365,TODAY()),1,0),""select Col2 limit 90""))"),341.6122222222222)</f>
        <v>341.6122222</v>
      </c>
      <c r="K34" s="10">
        <f>IFERROR(__xludf.DUMMYFUNCTION("AVERAGE(QUERY(SORT(GOOGLEFINANCE(B34,""price"",TODAY()-365,TODAY()),1,0),""select Col2 limit 120""))"),334.88624999999996)</f>
        <v>334.88625</v>
      </c>
      <c r="L34" s="10">
        <f>IFERROR(__xludf.DUMMYFUNCTION("AVERAGE(QUERY(SORT(GOOGLEFINANCE(B34,""price"",TODAY()-365,TODAY()),1,0),""select Col2 limit 200""))"),306.293)</f>
        <v>306.293</v>
      </c>
      <c r="M34" s="11" t="str">
        <f t="shared" si="2"/>
        <v>Avoid</v>
      </c>
    </row>
    <row r="35">
      <c r="A35" s="5" t="s">
        <v>46</v>
      </c>
      <c r="B35" s="6" t="str">
        <f t="shared" si="1"/>
        <v>NSE:ALKEM</v>
      </c>
      <c r="C35" s="7">
        <f>IFERROR(__xludf.DUMMYFUNCTION("GOOGLEFINANCE(B35,""price"")"),5759.55)</f>
        <v>5759.55</v>
      </c>
      <c r="D35" s="8">
        <f>IFERROR(__xludf.DUMMYFUNCTION("GOOGLEFINANCE(B35,""Volume"")"),45717.0)</f>
        <v>45717</v>
      </c>
      <c r="E35" s="7">
        <v>20.0</v>
      </c>
      <c r="F35" s="9" t="str">
        <f>IFERROR(__xludf.DUMMYFUNCTION("IF(D35&gt;AVERAGE(INDEX(GOOGLEFINANCE(B35,""volume"",WORKDAY(TODAY(),-$E$2),TODAY()),,2)),""Breakout"","""")"),"")</f>
        <v/>
      </c>
      <c r="G35" s="8">
        <f>IFERROR(__xludf.DUMMYFUNCTION("AVERAGE(QUERY(SORT(GOOGLEFINANCE(B35,""price"",TODAY()-365,TODAY()),1,0),""select Col2 limit 10""))"),5970.21)</f>
        <v>5970.21</v>
      </c>
      <c r="H35" s="10">
        <f>IFERROR(__xludf.DUMMYFUNCTION("AVERAGE(QUERY(SORT(GOOGLEFINANCE(B35,""price"",TODAY()-365,TODAY()),1,0),""select Col2 limit 30""))"),6092.956666666667)</f>
        <v>6092.956667</v>
      </c>
      <c r="I35" s="10">
        <f>IFERROR(__xludf.DUMMYFUNCTION("AVERAGE(QUERY(SORT(GOOGLEFINANCE(B35,""price"",TODAY()-365,TODAY()),1,0),""select Col2 limit 60""))"),6040.904166666665)</f>
        <v>6040.904167</v>
      </c>
      <c r="J35" s="10">
        <f>IFERROR(__xludf.DUMMYFUNCTION("AVERAGE(QUERY(SORT(GOOGLEFINANCE(B35,""price"",TODAY()-365,TODAY()),1,0),""select Col2 limit 90""))"),5751.013888888887)</f>
        <v>5751.013889</v>
      </c>
      <c r="K35" s="10">
        <f>IFERROR(__xludf.DUMMYFUNCTION("AVERAGE(QUERY(SORT(GOOGLEFINANCE(B35,""price"",TODAY()-365,TODAY()),1,0),""select Col2 limit 120""))"),5596.358749999996)</f>
        <v>5596.35875</v>
      </c>
      <c r="L35" s="10">
        <f>IFERROR(__xludf.DUMMYFUNCTION("AVERAGE(QUERY(SORT(GOOGLEFINANCE(B35,""price"",TODAY()-365,TODAY()),1,0),""select Col2 limit 200""))"),5363.137749999997)</f>
        <v>5363.13775</v>
      </c>
      <c r="M35" s="11" t="str">
        <f t="shared" si="2"/>
        <v>Avoid</v>
      </c>
    </row>
    <row r="36">
      <c r="A36" s="5" t="s">
        <v>47</v>
      </c>
      <c r="B36" s="6" t="str">
        <f t="shared" si="1"/>
        <v>NSE:HINDALCO</v>
      </c>
      <c r="C36" s="7">
        <f>IFERROR(__xludf.DUMMYFUNCTION("GOOGLEFINANCE(B36,""price"")"),667.05)</f>
        <v>667.05</v>
      </c>
      <c r="D36" s="8">
        <f>IFERROR(__xludf.DUMMYFUNCTION("GOOGLEFINANCE(B36,""Volume"")"),2250260.0)</f>
        <v>2250260</v>
      </c>
      <c r="E36" s="7">
        <v>20.0</v>
      </c>
      <c r="F36" s="9" t="str">
        <f>IFERROR(__xludf.DUMMYFUNCTION("IF(D36&gt;AVERAGE(INDEX(GOOGLEFINANCE(B36,""volume"",WORKDAY(TODAY(),-$E$2),TODAY()),,2)),""Breakout"","""")"),"")</f>
        <v/>
      </c>
      <c r="G36" s="8">
        <f>IFERROR(__xludf.DUMMYFUNCTION("AVERAGE(QUERY(SORT(GOOGLEFINANCE(B36,""price"",TODAY()-365,TODAY()),1,0),""select Col2 limit 10""))"),706.085)</f>
        <v>706.085</v>
      </c>
      <c r="H36" s="10">
        <f>IFERROR(__xludf.DUMMYFUNCTION("AVERAGE(QUERY(SORT(GOOGLEFINANCE(B36,""price"",TODAY()-365,TODAY()),1,0),""select Col2 limit 30""))"),721.8950000000001)</f>
        <v>721.895</v>
      </c>
      <c r="I36" s="10">
        <f>IFERROR(__xludf.DUMMYFUNCTION("AVERAGE(QUERY(SORT(GOOGLEFINANCE(B36,""price"",TODAY()-365,TODAY()),1,0),""select Col2 limit 60""))"),694.4891666666666)</f>
        <v>694.4891667</v>
      </c>
      <c r="J36" s="10">
        <f>IFERROR(__xludf.DUMMYFUNCTION("AVERAGE(QUERY(SORT(GOOGLEFINANCE(B36,""price"",TODAY()-365,TODAY()),1,0),""select Col2 limit 90""))"),688.2216666666668)</f>
        <v>688.2216667</v>
      </c>
      <c r="K36" s="10">
        <f>IFERROR(__xludf.DUMMYFUNCTION("AVERAGE(QUERY(SORT(GOOGLEFINANCE(B36,""price"",TODAY()-365,TODAY()),1,0),""select Col2 limit 120""))"),684.6533333333335)</f>
        <v>684.6533333</v>
      </c>
      <c r="L36" s="10">
        <f>IFERROR(__xludf.DUMMYFUNCTION("AVERAGE(QUERY(SORT(GOOGLEFINANCE(B36,""price"",TODAY()-365,TODAY()),1,0),""select Col2 limit 200""))"),638.08225)</f>
        <v>638.08225</v>
      </c>
      <c r="M36" s="11" t="str">
        <f t="shared" si="2"/>
        <v>Best for Sell Below 200 DMA</v>
      </c>
    </row>
    <row r="37">
      <c r="A37" s="5" t="s">
        <v>48</v>
      </c>
      <c r="B37" s="6" t="str">
        <f t="shared" si="1"/>
        <v>NSE:PFC</v>
      </c>
      <c r="C37" s="7">
        <f>IFERROR(__xludf.DUMMYFUNCTION("GOOGLEFINANCE(B37,""price"")"),449.95)</f>
        <v>449.95</v>
      </c>
      <c r="D37" s="8">
        <f>IFERROR(__xludf.DUMMYFUNCTION("GOOGLEFINANCE(B37,""Volume"")"),5940341.0)</f>
        <v>5940341</v>
      </c>
      <c r="E37" s="7">
        <v>20.0</v>
      </c>
      <c r="F37" s="9" t="str">
        <f>IFERROR(__xludf.DUMMYFUNCTION("IF(D37&gt;AVERAGE(INDEX(GOOGLEFINANCE(B37,""volume"",WORKDAY(TODAY(),-$E$2),TODAY()),,2)),""Breakout"","""")"),"")</f>
        <v/>
      </c>
      <c r="G37" s="8">
        <f>IFERROR(__xludf.DUMMYFUNCTION("AVERAGE(QUERY(SORT(GOOGLEFINANCE(B37,""price"",TODAY()-365,TODAY()),1,0),""select Col2 limit 10""))"),455.0)</f>
        <v>455</v>
      </c>
      <c r="H37" s="10">
        <f>IFERROR(__xludf.DUMMYFUNCTION("AVERAGE(QUERY(SORT(GOOGLEFINANCE(B37,""price"",TODAY()-365,TODAY()),1,0),""select Col2 limit 30""))"),469.28833333333347)</f>
        <v>469.2883333</v>
      </c>
      <c r="I37" s="10">
        <f>IFERROR(__xludf.DUMMYFUNCTION("AVERAGE(QUERY(SORT(GOOGLEFINANCE(B37,""price"",TODAY()-365,TODAY()),1,0),""select Col2 limit 60""))"),492.87083333333356)</f>
        <v>492.8708333</v>
      </c>
      <c r="J37" s="10">
        <f>IFERROR(__xludf.DUMMYFUNCTION("AVERAGE(QUERY(SORT(GOOGLEFINANCE(B37,""price"",TODAY()-365,TODAY()),1,0),""select Col2 limit 90""))"),504.90944444444466)</f>
        <v>504.9094444</v>
      </c>
      <c r="K37" s="10">
        <f>IFERROR(__xludf.DUMMYFUNCTION("AVERAGE(QUERY(SORT(GOOGLEFINANCE(B37,""price"",TODAY()-365,TODAY()),1,0),""select Col2 limit 120""))"),498.36541666666693)</f>
        <v>498.3654167</v>
      </c>
      <c r="L37" s="10">
        <f>IFERROR(__xludf.DUMMYFUNCTION("AVERAGE(QUERY(SORT(GOOGLEFINANCE(B37,""price"",TODAY()-365,TODAY()),1,0),""select Col2 limit 200""))"),464.8075000000003)</f>
        <v>464.8075</v>
      </c>
      <c r="M37" s="11" t="str">
        <f t="shared" si="2"/>
        <v>Avoid</v>
      </c>
    </row>
    <row r="38">
      <c r="A38" s="5" t="s">
        <v>49</v>
      </c>
      <c r="B38" s="6" t="str">
        <f t="shared" si="1"/>
        <v>NSE:POWERGRID</v>
      </c>
      <c r="C38" s="7">
        <f>IFERROR(__xludf.DUMMYFUNCTION("GOOGLEFINANCE(B38,""price"")"),315.2)</f>
        <v>315.2</v>
      </c>
      <c r="D38" s="8">
        <f>IFERROR(__xludf.DUMMYFUNCTION("GOOGLEFINANCE(B38,""Volume"")"),3973065.0)</f>
        <v>3973065</v>
      </c>
      <c r="E38" s="7">
        <v>20.0</v>
      </c>
      <c r="F38" s="9" t="str">
        <f>IFERROR(__xludf.DUMMYFUNCTION("IF(D38&gt;AVERAGE(INDEX(GOOGLEFINANCE(B38,""volume"",WORKDAY(TODAY(),-$E$2),TODAY()),,2)),""Breakout"","""")"),"")</f>
        <v/>
      </c>
      <c r="G38" s="8">
        <f>IFERROR(__xludf.DUMMYFUNCTION("AVERAGE(QUERY(SORT(GOOGLEFINANCE(B38,""price"",TODAY()-365,TODAY()),1,0),""select Col2 limit 10""))"),321.59000000000003)</f>
        <v>321.59</v>
      </c>
      <c r="H38" s="10">
        <f>IFERROR(__xludf.DUMMYFUNCTION("AVERAGE(QUERY(SORT(GOOGLEFINANCE(B38,""price"",TODAY()-365,TODAY()),1,0),""select Col2 limit 30""))"),334.07)</f>
        <v>334.07</v>
      </c>
      <c r="I38" s="10">
        <f>IFERROR(__xludf.DUMMYFUNCTION("AVERAGE(QUERY(SORT(GOOGLEFINANCE(B38,""price"",TODAY()-365,TODAY()),1,0),""select Col2 limit 60""))"),335.40666666666664)</f>
        <v>335.4066667</v>
      </c>
      <c r="J38" s="10">
        <f>IFERROR(__xludf.DUMMYFUNCTION("AVERAGE(QUERY(SORT(GOOGLEFINANCE(B38,""price"",TODAY()-365,TODAY()),1,0),""select Col2 limit 90""))"),336.89)</f>
        <v>336.89</v>
      </c>
      <c r="K38" s="10">
        <f>IFERROR(__xludf.DUMMYFUNCTION("AVERAGE(QUERY(SORT(GOOGLEFINANCE(B38,""price"",TODAY()-365,TODAY()),1,0),""select Col2 limit 120""))"),331.8341666666667)</f>
        <v>331.8341667</v>
      </c>
      <c r="L38" s="10">
        <f>IFERROR(__xludf.DUMMYFUNCTION("AVERAGE(QUERY(SORT(GOOGLEFINANCE(B38,""price"",TODAY()-365,TODAY()),1,0),""select Col2 limit 200""))"),308.92300000000006)</f>
        <v>308.923</v>
      </c>
      <c r="M38" s="11" t="str">
        <f t="shared" si="2"/>
        <v>Best for Sell Below 200 DMA</v>
      </c>
    </row>
    <row r="39">
      <c r="A39" s="5" t="s">
        <v>50</v>
      </c>
      <c r="B39" s="6" t="str">
        <f t="shared" si="1"/>
        <v>NSE:MARUTI</v>
      </c>
      <c r="C39" s="7">
        <f>IFERROR(__xludf.DUMMYFUNCTION("GOOGLEFINANCE(B39,""price"")"),10965.0)</f>
        <v>10965</v>
      </c>
      <c r="D39" s="8">
        <f>IFERROR(__xludf.DUMMYFUNCTION("GOOGLEFINANCE(B39,""Volume"")"),238330.0)</f>
        <v>238330</v>
      </c>
      <c r="E39" s="7">
        <v>20.0</v>
      </c>
      <c r="F39" s="9" t="str">
        <f>IFERROR(__xludf.DUMMYFUNCTION("IF(D39&gt;AVERAGE(INDEX(GOOGLEFINANCE(B39,""volume"",WORKDAY(TODAY(),-$E$2),TODAY()),,2)),""Breakout"","""")"),"")</f>
        <v/>
      </c>
      <c r="G39" s="8">
        <f>IFERROR(__xludf.DUMMYFUNCTION("AVERAGE(QUERY(SORT(GOOGLEFINANCE(B39,""price"",TODAY()-365,TODAY()),1,0),""select Col2 limit 10""))"),11628.92)</f>
        <v>11628.92</v>
      </c>
      <c r="H39" s="10">
        <f>IFERROR(__xludf.DUMMYFUNCTION("AVERAGE(QUERY(SORT(GOOGLEFINANCE(B39,""price"",TODAY()-365,TODAY()),1,0),""select Col2 limit 30""))"),12368.394999999999)</f>
        <v>12368.395</v>
      </c>
      <c r="I39" s="10">
        <f>IFERROR(__xludf.DUMMYFUNCTION("AVERAGE(QUERY(SORT(GOOGLEFINANCE(B39,""price"",TODAY()-365,TODAY()),1,0),""select Col2 limit 60""))"),12326.786666666665)</f>
        <v>12326.78667</v>
      </c>
      <c r="J39" s="10">
        <f>IFERROR(__xludf.DUMMYFUNCTION("AVERAGE(QUERY(SORT(GOOGLEFINANCE(B39,""price"",TODAY()-365,TODAY()),1,0),""select Col2 limit 90""))"),12378.285555555558)</f>
        <v>12378.28556</v>
      </c>
      <c r="K39" s="10">
        <f>IFERROR(__xludf.DUMMYFUNCTION("AVERAGE(QUERY(SORT(GOOGLEFINANCE(B39,""price"",TODAY()-365,TODAY()),1,0),""select Col2 limit 120""))"),12438.880000000003)</f>
        <v>12438.88</v>
      </c>
      <c r="L39" s="10">
        <f>IFERROR(__xludf.DUMMYFUNCTION("AVERAGE(QUERY(SORT(GOOGLEFINANCE(B39,""price"",TODAY()-365,TODAY()),1,0),""select Col2 limit 200""))"),12080.045750000014)</f>
        <v>12080.04575</v>
      </c>
      <c r="M39" s="11" t="str">
        <f t="shared" si="2"/>
        <v>Avoid</v>
      </c>
    </row>
    <row r="40">
      <c r="A40" s="5" t="s">
        <v>51</v>
      </c>
      <c r="B40" s="6" t="str">
        <f t="shared" si="1"/>
        <v>NSE:RECLTD</v>
      </c>
      <c r="C40" s="7">
        <f>IFERROR(__xludf.DUMMYFUNCTION("GOOGLEFINANCE(B40,""price"")"),516.3)</f>
        <v>516.3</v>
      </c>
      <c r="D40" s="8">
        <f>IFERROR(__xludf.DUMMYFUNCTION("GOOGLEFINANCE(B40,""Volume"")"),4215170.0)</f>
        <v>4215170</v>
      </c>
      <c r="E40" s="7">
        <v>20.0</v>
      </c>
      <c r="F40" s="9" t="str">
        <f>IFERROR(__xludf.DUMMYFUNCTION("IF(D40&gt;AVERAGE(INDEX(GOOGLEFINANCE(B40,""volume"",WORKDAY(TODAY(),-$E$2),TODAY()),,2)),""Breakout"","""")"),"")</f>
        <v/>
      </c>
      <c r="G40" s="8">
        <f>IFERROR(__xludf.DUMMYFUNCTION("AVERAGE(QUERY(SORT(GOOGLEFINANCE(B40,""price"",TODAY()-365,TODAY()),1,0),""select Col2 limit 10""))"),524.98)</f>
        <v>524.98</v>
      </c>
      <c r="H40" s="10">
        <f>IFERROR(__xludf.DUMMYFUNCTION("AVERAGE(QUERY(SORT(GOOGLEFINANCE(B40,""price"",TODAY()-365,TODAY()),1,0),""select Col2 limit 30""))"),535.1250000000001)</f>
        <v>535.125</v>
      </c>
      <c r="I40" s="10">
        <f>IFERROR(__xludf.DUMMYFUNCTION("AVERAGE(QUERY(SORT(GOOGLEFINANCE(B40,""price"",TODAY()-365,TODAY()),1,0),""select Col2 limit 60""))"),562.8208333333334)</f>
        <v>562.8208333</v>
      </c>
      <c r="J40" s="10">
        <f>IFERROR(__xludf.DUMMYFUNCTION("AVERAGE(QUERY(SORT(GOOGLEFINANCE(B40,""price"",TODAY()-365,TODAY()),1,0),""select Col2 limit 90""))"),573.5744444444445)</f>
        <v>573.5744444</v>
      </c>
      <c r="K40" s="10">
        <f>IFERROR(__xludf.DUMMYFUNCTION("AVERAGE(QUERY(SORT(GOOGLEFINANCE(B40,""price"",TODAY()-365,TODAY()),1,0),""select Col2 limit 120""))"),562.1270833333332)</f>
        <v>562.1270833</v>
      </c>
      <c r="L40" s="10">
        <f>IFERROR(__xludf.DUMMYFUNCTION("AVERAGE(QUERY(SORT(GOOGLEFINANCE(B40,""price"",TODAY()-365,TODAY()),1,0),""select Col2 limit 200""))"),522.80225)</f>
        <v>522.80225</v>
      </c>
      <c r="M40" s="11" t="str">
        <f t="shared" si="2"/>
        <v>Avoid</v>
      </c>
    </row>
    <row r="41">
      <c r="A41" s="5" t="s">
        <v>52</v>
      </c>
      <c r="B41" s="6" t="str">
        <f t="shared" si="1"/>
        <v>NSE:ADANIENT</v>
      </c>
      <c r="C41" s="7">
        <f>IFERROR(__xludf.DUMMYFUNCTION("GOOGLEFINANCE(B41,""price"")"),2898.5)</f>
        <v>2898.5</v>
      </c>
      <c r="D41" s="8">
        <f>IFERROR(__xludf.DUMMYFUNCTION("GOOGLEFINANCE(B41,""Volume"")"),556534.0)</f>
        <v>556534</v>
      </c>
      <c r="E41" s="7">
        <v>20.0</v>
      </c>
      <c r="F41" s="9" t="str">
        <f>IFERROR(__xludf.DUMMYFUNCTION("IF(D41&gt;AVERAGE(INDEX(GOOGLEFINANCE(B41,""volume"",WORKDAY(TODAY(),-$E$2),TODAY()),,2)),""Breakout"","""")"),"")</f>
        <v/>
      </c>
      <c r="G41" s="8">
        <f>IFERROR(__xludf.DUMMYFUNCTION("AVERAGE(QUERY(SORT(GOOGLEFINANCE(B41,""price"",TODAY()-365,TODAY()),1,0),""select Col2 limit 10""))"),2868.645)</f>
        <v>2868.645</v>
      </c>
      <c r="H41" s="10">
        <f>IFERROR(__xludf.DUMMYFUNCTION("AVERAGE(QUERY(SORT(GOOGLEFINANCE(B41,""price"",TODAY()-365,TODAY()),1,0),""select Col2 limit 30""))"),3021.0633333333326)</f>
        <v>3021.063333</v>
      </c>
      <c r="I41" s="10">
        <f>IFERROR(__xludf.DUMMYFUNCTION("AVERAGE(QUERY(SORT(GOOGLEFINANCE(B41,""price"",TODAY()-365,TODAY()),1,0),""select Col2 limit 60""))"),3034.6541666666662)</f>
        <v>3034.654167</v>
      </c>
      <c r="J41" s="10">
        <f>IFERROR(__xludf.DUMMYFUNCTION("AVERAGE(QUERY(SORT(GOOGLEFINANCE(B41,""price"",TODAY()-365,TODAY()),1,0),""select Col2 limit 90""))"),3058.360000000001)</f>
        <v>3058.36</v>
      </c>
      <c r="K41" s="10">
        <f>IFERROR(__xludf.DUMMYFUNCTION("AVERAGE(QUERY(SORT(GOOGLEFINANCE(B41,""price"",TODAY()-365,TODAY()),1,0),""select Col2 limit 120""))"),3091.793333333333)</f>
        <v>3091.793333</v>
      </c>
      <c r="L41" s="10">
        <f>IFERROR(__xludf.DUMMYFUNCTION("AVERAGE(QUERY(SORT(GOOGLEFINANCE(B41,""price"",TODAY()-365,TODAY()),1,0),""select Col2 limit 200""))"),3104.1912499999994)</f>
        <v>3104.19125</v>
      </c>
      <c r="M41" s="11" t="str">
        <f t="shared" si="2"/>
        <v>Avoid</v>
      </c>
    </row>
    <row r="42">
      <c r="A42" s="5" t="s">
        <v>53</v>
      </c>
      <c r="B42" s="6" t="str">
        <f t="shared" si="1"/>
        <v>NSE:HINDCOPPER</v>
      </c>
      <c r="C42" s="7">
        <f>IFERROR(__xludf.DUMMYFUNCTION("GOOGLEFINANCE(B42,""price"")"),290.7)</f>
        <v>290.7</v>
      </c>
      <c r="D42" s="8">
        <f>IFERROR(__xludf.DUMMYFUNCTION("GOOGLEFINANCE(B42,""Volume"")"),3518654.0)</f>
        <v>3518654</v>
      </c>
      <c r="E42" s="7">
        <v>20.0</v>
      </c>
      <c r="F42" s="9" t="str">
        <f>IFERROR(__xludf.DUMMYFUNCTION("IF(D42&gt;AVERAGE(INDEX(GOOGLEFINANCE(B42,""volume"",WORKDAY(TODAY(),-$E$2),TODAY()),,2)),""Breakout"","""")"),"")</f>
        <v/>
      </c>
      <c r="G42" s="8">
        <f>IFERROR(__xludf.DUMMYFUNCTION("AVERAGE(QUERY(SORT(GOOGLEFINANCE(B42,""price"",TODAY()-365,TODAY()),1,0),""select Col2 limit 10""))"),295.585)</f>
        <v>295.585</v>
      </c>
      <c r="H42" s="10">
        <f>IFERROR(__xludf.DUMMYFUNCTION("AVERAGE(QUERY(SORT(GOOGLEFINANCE(B42,""price"",TODAY()-365,TODAY()),1,0),""select Col2 limit 30""))"),317.48500000000007)</f>
        <v>317.485</v>
      </c>
      <c r="I42" s="10">
        <f>IFERROR(__xludf.DUMMYFUNCTION("AVERAGE(QUERY(SORT(GOOGLEFINANCE(B42,""price"",TODAY()-365,TODAY()),1,0),""select Col2 limit 60""))"),316.50166666666684)</f>
        <v>316.5016667</v>
      </c>
      <c r="J42" s="10">
        <f>IFERROR(__xludf.DUMMYFUNCTION("AVERAGE(QUERY(SORT(GOOGLEFINANCE(B42,""price"",TODAY()-365,TODAY()),1,0),""select Col2 limit 90""))"),317.87)</f>
        <v>317.87</v>
      </c>
      <c r="K42" s="10">
        <f>IFERROR(__xludf.DUMMYFUNCTION("AVERAGE(QUERY(SORT(GOOGLEFINANCE(B42,""price"",TODAY()-365,TODAY()),1,0),""select Col2 limit 120""))"),326.91)</f>
        <v>326.91</v>
      </c>
      <c r="L42" s="10">
        <f>IFERROR(__xludf.DUMMYFUNCTION("AVERAGE(QUERY(SORT(GOOGLEFINANCE(B42,""price"",TODAY()-365,TODAY()),1,0),""select Col2 limit 200""))"),315.4912499999999)</f>
        <v>315.49125</v>
      </c>
      <c r="M42" s="11" t="str">
        <f t="shared" si="2"/>
        <v>Avoid</v>
      </c>
    </row>
    <row r="43">
      <c r="A43" s="5" t="s">
        <v>54</v>
      </c>
      <c r="B43" s="6" t="str">
        <f t="shared" si="1"/>
        <v>NSE:ZOMATO</v>
      </c>
      <c r="C43" s="7">
        <f>IFERROR(__xludf.DUMMYFUNCTION("GOOGLEFINANCE(B43,""price"")"),241.48)</f>
        <v>241.48</v>
      </c>
      <c r="D43" s="8">
        <f>IFERROR(__xludf.DUMMYFUNCTION("GOOGLEFINANCE(B43,""Volume"")"),2.3061097E7)</f>
        <v>23061097</v>
      </c>
      <c r="E43" s="7">
        <v>20.0</v>
      </c>
      <c r="F43" s="9" t="str">
        <f>IFERROR(__xludf.DUMMYFUNCTION("IF(D43&gt;AVERAGE(INDEX(GOOGLEFINANCE(B43,""volume"",WORKDAY(TODAY(),-$E$2),TODAY()),,2)),""Breakout"","""")"),"")</f>
        <v/>
      </c>
      <c r="G43" s="8">
        <f>IFERROR(__xludf.DUMMYFUNCTION("AVERAGE(QUERY(SORT(GOOGLEFINANCE(B43,""price"",TODAY()-365,TODAY()),1,0),""select Col2 limit 10""))"),254.64499999999992)</f>
        <v>254.645</v>
      </c>
      <c r="H43" s="10">
        <f>IFERROR(__xludf.DUMMYFUNCTION("AVERAGE(QUERY(SORT(GOOGLEFINANCE(B43,""price"",TODAY()-365,TODAY()),1,0),""select Col2 limit 30""))"),270.8583333333333)</f>
        <v>270.8583333</v>
      </c>
      <c r="I43" s="10">
        <f>IFERROR(__xludf.DUMMYFUNCTION("AVERAGE(QUERY(SORT(GOOGLEFINANCE(B43,""price"",TODAY()-365,TODAY()),1,0),""select Col2 limit 60""))"),266.3335000000001)</f>
        <v>266.3335</v>
      </c>
      <c r="J43" s="10">
        <f>IFERROR(__xludf.DUMMYFUNCTION("AVERAGE(QUERY(SORT(GOOGLEFINANCE(B43,""price"",TODAY()-365,TODAY()),1,0),""select Col2 limit 90""))"),250.74033333333347)</f>
        <v>250.7403333</v>
      </c>
      <c r="K43" s="10">
        <f>IFERROR(__xludf.DUMMYFUNCTION("AVERAGE(QUERY(SORT(GOOGLEFINANCE(B43,""price"",TODAY()-365,TODAY()),1,0),""select Col2 limit 120""))"),234.80966666666674)</f>
        <v>234.8096667</v>
      </c>
      <c r="L43" s="10">
        <f>IFERROR(__xludf.DUMMYFUNCTION("AVERAGE(QUERY(SORT(GOOGLEFINANCE(B43,""price"",TODAY()-365,TODAY()),1,0),""select Col2 limit 200""))"),206.5478000000001)</f>
        <v>206.5478</v>
      </c>
      <c r="M43" s="11" t="str">
        <f t="shared" si="2"/>
        <v>Avoid</v>
      </c>
    </row>
    <row r="44">
      <c r="A44" s="5" t="s">
        <v>55</v>
      </c>
      <c r="B44" s="6" t="str">
        <f t="shared" si="1"/>
        <v>NSE:LINDEINDIA</v>
      </c>
      <c r="C44" s="7">
        <f>IFERROR(__xludf.DUMMYFUNCTION("GOOGLEFINANCE(B44,""price"")"),7764.85)</f>
        <v>7764.85</v>
      </c>
      <c r="D44" s="8">
        <f>IFERROR(__xludf.DUMMYFUNCTION("GOOGLEFINANCE(B44,""Volume"")"),12769.0)</f>
        <v>12769</v>
      </c>
      <c r="E44" s="7">
        <v>20.0</v>
      </c>
      <c r="F44" s="9" t="str">
        <f>IFERROR(__xludf.DUMMYFUNCTION("IF(D44&gt;AVERAGE(INDEX(GOOGLEFINANCE(B44,""volume"",WORKDAY(TODAY(),-$E$2),TODAY()),,2)),""Breakout"","""")"),"")</f>
        <v/>
      </c>
      <c r="G44" s="8">
        <f>IFERROR(__xludf.DUMMYFUNCTION("AVERAGE(QUERY(SORT(GOOGLEFINANCE(B44,""price"",TODAY()-365,TODAY()),1,0),""select Col2 limit 10""))"),7842.109999999999)</f>
        <v>7842.11</v>
      </c>
      <c r="H44" s="10">
        <f>IFERROR(__xludf.DUMMYFUNCTION("AVERAGE(QUERY(SORT(GOOGLEFINANCE(B44,""price"",TODAY()-365,TODAY()),1,0),""select Col2 limit 30""))"),8157.636666666666)</f>
        <v>8157.636667</v>
      </c>
      <c r="I44" s="10">
        <f>IFERROR(__xludf.DUMMYFUNCTION("AVERAGE(QUERY(SORT(GOOGLEFINANCE(B44,""price"",TODAY()-365,TODAY()),1,0),""select Col2 limit 60""))"),7836.570833333335)</f>
        <v>7836.570833</v>
      </c>
      <c r="J44" s="10">
        <f>IFERROR(__xludf.DUMMYFUNCTION("AVERAGE(QUERY(SORT(GOOGLEFINANCE(B44,""price"",TODAY()-365,TODAY()),1,0),""select Col2 limit 90""))"),8008.625555555556)</f>
        <v>8008.625556</v>
      </c>
      <c r="K44" s="10">
        <f>IFERROR(__xludf.DUMMYFUNCTION("AVERAGE(QUERY(SORT(GOOGLEFINANCE(B44,""price"",TODAY()-365,TODAY()),1,0),""select Col2 limit 120""))"),8198.43)</f>
        <v>8198.43</v>
      </c>
      <c r="L44" s="10">
        <f>IFERROR(__xludf.DUMMYFUNCTION("AVERAGE(QUERY(SORT(GOOGLEFINANCE(B44,""price"",TODAY()-365,TODAY()),1,0),""select Col2 limit 200""))"),7455.2745)</f>
        <v>7455.2745</v>
      </c>
      <c r="M44" s="11" t="str">
        <f t="shared" si="2"/>
        <v>Best for Sell Below 200 DMA</v>
      </c>
    </row>
    <row r="45">
      <c r="A45" s="5" t="s">
        <v>56</v>
      </c>
      <c r="B45" s="6" t="str">
        <f t="shared" si="1"/>
        <v>NSE:AWFIS</v>
      </c>
      <c r="C45" s="7">
        <f>IFERROR(__xludf.DUMMYFUNCTION("GOOGLEFINANCE(B45,""price"")"),687.05)</f>
        <v>687.05</v>
      </c>
      <c r="D45" s="8">
        <f>IFERROR(__xludf.DUMMYFUNCTION("GOOGLEFINANCE(B45,""Volume"")"),103362.0)</f>
        <v>103362</v>
      </c>
      <c r="E45" s="7">
        <v>20.0</v>
      </c>
      <c r="F45" s="9" t="str">
        <f>IFERROR(__xludf.DUMMYFUNCTION("IF(D45&gt;AVERAGE(INDEX(GOOGLEFINANCE(B45,""volume"",WORKDAY(TODAY(),-$E$2),TODAY()),,2)),""Breakout"","""")"),"")</f>
        <v/>
      </c>
      <c r="G45" s="8">
        <f>IFERROR(__xludf.DUMMYFUNCTION("AVERAGE(QUERY(SORT(GOOGLEFINANCE(B45,""price"",TODAY()-365,TODAY()),1,0),""select Col2 limit 10""))"),705.325)</f>
        <v>705.325</v>
      </c>
      <c r="H45" s="10">
        <f>IFERROR(__xludf.DUMMYFUNCTION("AVERAGE(QUERY(SORT(GOOGLEFINANCE(B45,""price"",TODAY()-365,TODAY()),1,0),""select Col2 limit 30""))"),704.8950000000001)</f>
        <v>704.895</v>
      </c>
      <c r="I45" s="10">
        <f>IFERROR(__xludf.DUMMYFUNCTION("AVERAGE(QUERY(SORT(GOOGLEFINANCE(B45,""price"",TODAY()-365,TODAY()),1,0),""select Col2 limit 60""))"),728.155)</f>
        <v>728.155</v>
      </c>
      <c r="J45" s="10">
        <f>IFERROR(__xludf.DUMMYFUNCTION("AVERAGE(QUERY(SORT(GOOGLEFINANCE(B45,""price"",TODAY()-365,TODAY()),1,0),""select Col2 limit 90""))"),687.5149999999999)</f>
        <v>687.515</v>
      </c>
      <c r="K45" s="10">
        <f>IFERROR(__xludf.DUMMYFUNCTION("AVERAGE(QUERY(SORT(GOOGLEFINANCE(B45,""price"",TODAY()-365,TODAY()),1,0),""select Col2 limit 120""))"),650.5210280373832)</f>
        <v>650.521028</v>
      </c>
      <c r="L45" s="10">
        <f>IFERROR(__xludf.DUMMYFUNCTION("AVERAGE(QUERY(SORT(GOOGLEFINANCE(B45,""price"",TODAY()-365,TODAY()),1,0),""select Col2 limit 200""))"),650.5210280373832)</f>
        <v>650.521028</v>
      </c>
      <c r="M45" s="11" t="str">
        <f t="shared" si="2"/>
        <v>Avoid</v>
      </c>
    </row>
    <row r="46">
      <c r="A46" s="5" t="s">
        <v>57</v>
      </c>
      <c r="B46" s="6" t="str">
        <f t="shared" si="1"/>
        <v>NSE:VEDL</v>
      </c>
      <c r="C46" s="7">
        <f>IFERROR(__xludf.DUMMYFUNCTION("GOOGLEFINANCE(B46,""price"")"),458.45)</f>
        <v>458.45</v>
      </c>
      <c r="D46" s="8">
        <f>IFERROR(__xludf.DUMMYFUNCTION("GOOGLEFINANCE(B46,""Volume"")"),3367722.0)</f>
        <v>3367722</v>
      </c>
      <c r="E46" s="7">
        <v>20.0</v>
      </c>
      <c r="F46" s="9" t="str">
        <f>IFERROR(__xludf.DUMMYFUNCTION("IF(D46&gt;AVERAGE(INDEX(GOOGLEFINANCE(B46,""volume"",WORKDAY(TODAY(),-$E$2),TODAY()),,2)),""Breakout"","""")"),"")</f>
        <v/>
      </c>
      <c r="G46" s="8">
        <f>IFERROR(__xludf.DUMMYFUNCTION("AVERAGE(QUERY(SORT(GOOGLEFINANCE(B46,""price"",TODAY()-365,TODAY()),1,0),""select Col2 limit 10""))"),467.8050000000001)</f>
        <v>467.805</v>
      </c>
      <c r="H46" s="10">
        <f>IFERROR(__xludf.DUMMYFUNCTION("AVERAGE(QUERY(SORT(GOOGLEFINANCE(B46,""price"",TODAY()-365,TODAY()),1,0),""select Col2 limit 30""))"),482.5583333333334)</f>
        <v>482.5583333</v>
      </c>
      <c r="I46" s="10">
        <f>IFERROR(__xludf.DUMMYFUNCTION("AVERAGE(QUERY(SORT(GOOGLEFINANCE(B46,""price"",TODAY()-365,TODAY()),1,0),""select Col2 limit 60""))"),465.36999999999983)</f>
        <v>465.37</v>
      </c>
      <c r="J46" s="10">
        <f>IFERROR(__xludf.DUMMYFUNCTION("AVERAGE(QUERY(SORT(GOOGLEFINANCE(B46,""price"",TODAY()-365,TODAY()),1,0),""select Col2 limit 90""))"),459.83388888888874)</f>
        <v>459.8338889</v>
      </c>
      <c r="K46" s="10">
        <f>IFERROR(__xludf.DUMMYFUNCTION("AVERAGE(QUERY(SORT(GOOGLEFINANCE(B46,""price"",TODAY()-365,TODAY()),1,0),""select Col2 limit 120""))"),457.3174999999999)</f>
        <v>457.3175</v>
      </c>
      <c r="L46" s="10">
        <f>IFERROR(__xludf.DUMMYFUNCTION("AVERAGE(QUERY(SORT(GOOGLEFINANCE(B46,""price"",TODAY()-365,TODAY()),1,0),""select Col2 limit 200""))"),395.26775000000004)</f>
        <v>395.26775</v>
      </c>
      <c r="M46" s="11" t="str">
        <f t="shared" si="2"/>
        <v>Avoid</v>
      </c>
    </row>
    <row r="47">
      <c r="A47" s="5" t="s">
        <v>58</v>
      </c>
      <c r="B47" s="6" t="str">
        <f t="shared" si="1"/>
        <v>NSE:ADANIPOWER</v>
      </c>
      <c r="C47" s="7">
        <f>IFERROR(__xludf.DUMMYFUNCTION("GOOGLEFINANCE(B47,""price"")"),589.25)</f>
        <v>589.25</v>
      </c>
      <c r="D47" s="8">
        <f>IFERROR(__xludf.DUMMYFUNCTION("GOOGLEFINANCE(B47,""Volume"")"),794246.0)</f>
        <v>794246</v>
      </c>
      <c r="E47" s="7">
        <v>20.0</v>
      </c>
      <c r="F47" s="9" t="str">
        <f>IFERROR(__xludf.DUMMYFUNCTION("IF(D47&gt;AVERAGE(INDEX(GOOGLEFINANCE(B47,""volume"",WORKDAY(TODAY(),-$E$2),TODAY()),,2)),""Breakout"","""")"),"")</f>
        <v/>
      </c>
      <c r="G47" s="8">
        <f>IFERROR(__xludf.DUMMYFUNCTION("AVERAGE(QUERY(SORT(GOOGLEFINANCE(B47,""price"",TODAY()-365,TODAY()),1,0),""select Col2 limit 10""))"),596.3399999999999)</f>
        <v>596.34</v>
      </c>
      <c r="H47" s="10">
        <f>IFERROR(__xludf.DUMMYFUNCTION("AVERAGE(QUERY(SORT(GOOGLEFINANCE(B47,""price"",TODAY()-365,TODAY()),1,0),""select Col2 limit 30""))"),629.9966666666667)</f>
        <v>629.9966667</v>
      </c>
      <c r="I47" s="10">
        <f>IFERROR(__xludf.DUMMYFUNCTION("AVERAGE(QUERY(SORT(GOOGLEFINANCE(B47,""price"",TODAY()-365,TODAY()),1,0),""select Col2 limit 60""))"),647.1383333333334)</f>
        <v>647.1383333</v>
      </c>
      <c r="J47" s="10">
        <f>IFERROR(__xludf.DUMMYFUNCTION("AVERAGE(QUERY(SORT(GOOGLEFINANCE(B47,""price"",TODAY()-365,TODAY()),1,0),""select Col2 limit 90""))"),668.7694444444444)</f>
        <v>668.7694444</v>
      </c>
      <c r="K47" s="10">
        <f>IFERROR(__xludf.DUMMYFUNCTION("AVERAGE(QUERY(SORT(GOOGLEFINANCE(B47,""price"",TODAY()-365,TODAY()),1,0),""select Col2 limit 120""))"),679.8037500000002)</f>
        <v>679.80375</v>
      </c>
      <c r="L47" s="10">
        <f>IFERROR(__xludf.DUMMYFUNCTION("AVERAGE(QUERY(SORT(GOOGLEFINANCE(B47,""price"",TODAY()-365,TODAY()),1,0),""select Col2 limit 200""))"),633.7125000000001)</f>
        <v>633.7125</v>
      </c>
      <c r="M47" s="11" t="str">
        <f t="shared" si="2"/>
        <v>Avoid</v>
      </c>
    </row>
    <row r="48">
      <c r="A48" s="5" t="s">
        <v>59</v>
      </c>
      <c r="B48" s="6" t="str">
        <f t="shared" si="1"/>
        <v>NSE:HUDCO</v>
      </c>
      <c r="C48" s="7">
        <f>IFERROR(__xludf.DUMMYFUNCTION("GOOGLEFINANCE(B48,""price"")"),215.0)</f>
        <v>215</v>
      </c>
      <c r="D48" s="8">
        <f>IFERROR(__xludf.DUMMYFUNCTION("GOOGLEFINANCE(B48,""Volume"")"),2659554.0)</f>
        <v>2659554</v>
      </c>
      <c r="E48" s="7">
        <v>20.0</v>
      </c>
      <c r="F48" s="9" t="str">
        <f>IFERROR(__xludf.DUMMYFUNCTION("IF(D48&gt;AVERAGE(INDEX(GOOGLEFINANCE(B48,""volume"",WORKDAY(TODAY(),-$E$2),TODAY()),,2)),""Breakout"","""")"),"")</f>
        <v/>
      </c>
      <c r="G48" s="8">
        <f>IFERROR(__xludf.DUMMYFUNCTION("AVERAGE(QUERY(SORT(GOOGLEFINANCE(B48,""price"",TODAY()-365,TODAY()),1,0),""select Col2 limit 10""))"),207.583)</f>
        <v>207.583</v>
      </c>
      <c r="H48" s="10">
        <f>IFERROR(__xludf.DUMMYFUNCTION("AVERAGE(QUERY(SORT(GOOGLEFINANCE(B48,""price"",TODAY()-365,TODAY()),1,0),""select Col2 limit 30""))"),222.89499999999998)</f>
        <v>222.895</v>
      </c>
      <c r="I48" s="10">
        <f>IFERROR(__xludf.DUMMYFUNCTION("AVERAGE(QUERY(SORT(GOOGLEFINANCE(B48,""price"",TODAY()-365,TODAY()),1,0),""select Col2 limit 60""))"),248.42833333333334)</f>
        <v>248.4283333</v>
      </c>
      <c r="J48" s="10">
        <f>IFERROR(__xludf.DUMMYFUNCTION("AVERAGE(QUERY(SORT(GOOGLEFINANCE(B48,""price"",TODAY()-365,TODAY()),1,0),""select Col2 limit 90""))"),269.2605555555555)</f>
        <v>269.2605556</v>
      </c>
      <c r="K48" s="10">
        <f>IFERROR(__xludf.DUMMYFUNCTION("AVERAGE(QUERY(SORT(GOOGLEFINANCE(B48,""price"",TODAY()-365,TODAY()),1,0),""select Col2 limit 120""))"),266.80041666666654)</f>
        <v>266.8004167</v>
      </c>
      <c r="L48" s="10">
        <f>IFERROR(__xludf.DUMMYFUNCTION("AVERAGE(QUERY(SORT(GOOGLEFINANCE(B48,""price"",TODAY()-365,TODAY()),1,0),""select Col2 limit 200""))"),235.544)</f>
        <v>235.544</v>
      </c>
      <c r="M48" s="11" t="str">
        <f t="shared" si="2"/>
        <v>Avoid</v>
      </c>
    </row>
    <row r="49">
      <c r="A49" s="5" t="s">
        <v>60</v>
      </c>
      <c r="B49" s="6" t="str">
        <f t="shared" si="1"/>
        <v>NSE:HCLTECH</v>
      </c>
      <c r="C49" s="7">
        <f>IFERROR(__xludf.DUMMYFUNCTION("GOOGLEFINANCE(B49,""price"")"),1768.65)</f>
        <v>1768.65</v>
      </c>
      <c r="D49" s="8">
        <f>IFERROR(__xludf.DUMMYFUNCTION("GOOGLEFINANCE(B49,""Volume"")"),1503726.0)</f>
        <v>1503726</v>
      </c>
      <c r="E49" s="7">
        <v>20.0</v>
      </c>
      <c r="F49" s="9" t="str">
        <f>IFERROR(__xludf.DUMMYFUNCTION("IF(D49&gt;AVERAGE(INDEX(GOOGLEFINANCE(B49,""volume"",WORKDAY(TODAY(),-$E$2),TODAY()),,2)),""Breakout"","""")"),"")</f>
        <v/>
      </c>
      <c r="G49" s="8">
        <f>IFERROR(__xludf.DUMMYFUNCTION("AVERAGE(QUERY(SORT(GOOGLEFINANCE(B49,""price"",TODAY()-365,TODAY()),1,0),""select Col2 limit 10""))"),1841.5400000000002)</f>
        <v>1841.54</v>
      </c>
      <c r="H49" s="10">
        <f>IFERROR(__xludf.DUMMYFUNCTION("AVERAGE(QUERY(SORT(GOOGLEFINANCE(B49,""price"",TODAY()-365,TODAY()),1,0),""select Col2 limit 30""))"),1815.5400000000002)</f>
        <v>1815.54</v>
      </c>
      <c r="I49" s="10">
        <f>IFERROR(__xludf.DUMMYFUNCTION("AVERAGE(QUERY(SORT(GOOGLEFINANCE(B49,""price"",TODAY()-365,TODAY()),1,0),""select Col2 limit 60""))"),1765.8783333333333)</f>
        <v>1765.878333</v>
      </c>
      <c r="J49" s="10">
        <f>IFERROR(__xludf.DUMMYFUNCTION("AVERAGE(QUERY(SORT(GOOGLEFINANCE(B49,""price"",TODAY()-365,TODAY()),1,0),""select Col2 limit 90""))"),1694.3150000000007)</f>
        <v>1694.315</v>
      </c>
      <c r="K49" s="10">
        <f>IFERROR(__xludf.DUMMYFUNCTION("AVERAGE(QUERY(SORT(GOOGLEFINANCE(B49,""price"",TODAY()-365,TODAY()),1,0),""select Col2 limit 120""))"),1614.3716666666671)</f>
        <v>1614.371667</v>
      </c>
      <c r="L49" s="10">
        <f>IFERROR(__xludf.DUMMYFUNCTION("AVERAGE(QUERY(SORT(GOOGLEFINANCE(B49,""price"",TODAY()-365,TODAY()),1,0),""select Col2 limit 200""))"),1592.05375)</f>
        <v>1592.05375</v>
      </c>
      <c r="M49" s="11" t="str">
        <f t="shared" si="2"/>
        <v>Avoid</v>
      </c>
    </row>
    <row r="50">
      <c r="A50" s="5" t="s">
        <v>61</v>
      </c>
      <c r="B50" s="6" t="str">
        <f t="shared" si="1"/>
        <v>NSE:NTPC</v>
      </c>
      <c r="C50" s="7">
        <f>IFERROR(__xludf.DUMMYFUNCTION("GOOGLEFINANCE(B50,""price"")"),399.8)</f>
        <v>399.8</v>
      </c>
      <c r="D50" s="8">
        <f>IFERROR(__xludf.DUMMYFUNCTION("GOOGLEFINANCE(B50,""Volume"")"),6977463.0)</f>
        <v>6977463</v>
      </c>
      <c r="E50" s="7">
        <v>20.0</v>
      </c>
      <c r="F50" s="9" t="str">
        <f>IFERROR(__xludf.DUMMYFUNCTION("IF(D50&gt;AVERAGE(INDEX(GOOGLEFINANCE(B50,""volume"",WORKDAY(TODAY(),-$E$2),TODAY()),,2)),""Breakout"","""")"),"")</f>
        <v/>
      </c>
      <c r="G50" s="8">
        <f>IFERROR(__xludf.DUMMYFUNCTION("AVERAGE(QUERY(SORT(GOOGLEFINANCE(B50,""price"",TODAY()-365,TODAY()),1,0),""select Col2 limit 10""))"),411.75)</f>
        <v>411.75</v>
      </c>
      <c r="H50" s="10">
        <f>IFERROR(__xludf.DUMMYFUNCTION("AVERAGE(QUERY(SORT(GOOGLEFINANCE(B50,""price"",TODAY()-365,TODAY()),1,0),""select Col2 limit 30""))"),422.39000000000016)</f>
        <v>422.39</v>
      </c>
      <c r="I50" s="10">
        <f>IFERROR(__xludf.DUMMYFUNCTION("AVERAGE(QUERY(SORT(GOOGLEFINANCE(B50,""price"",TODAY()-365,TODAY()),1,0),""select Col2 limit 60""))"),413.7366666666667)</f>
        <v>413.7366667</v>
      </c>
      <c r="J50" s="10">
        <f>IFERROR(__xludf.DUMMYFUNCTION("AVERAGE(QUERY(SORT(GOOGLEFINANCE(B50,""price"",TODAY()-365,TODAY()),1,0),""select Col2 limit 90""))"),404.38944444444456)</f>
        <v>404.3894444</v>
      </c>
      <c r="K50" s="10">
        <f>IFERROR(__xludf.DUMMYFUNCTION("AVERAGE(QUERY(SORT(GOOGLEFINANCE(B50,""price"",TODAY()-365,TODAY()),1,0),""select Col2 limit 120""))"),394.04750000000007)</f>
        <v>394.0475</v>
      </c>
      <c r="L50" s="10">
        <f>IFERROR(__xludf.DUMMYFUNCTION("AVERAGE(QUERY(SORT(GOOGLEFINANCE(B50,""price"",TODAY()-365,TODAY()),1,0),""select Col2 limit 200""))"),371.08225000000004)</f>
        <v>371.08225</v>
      </c>
      <c r="M50" s="11" t="str">
        <f t="shared" si="2"/>
        <v>Avoid</v>
      </c>
    </row>
    <row r="51">
      <c r="A51" s="5" t="s">
        <v>62</v>
      </c>
      <c r="B51" s="6" t="str">
        <f t="shared" si="1"/>
        <v>NSE:HERITGFOOD</v>
      </c>
      <c r="C51" s="7">
        <f>IFERROR(__xludf.DUMMYFUNCTION("GOOGLEFINANCE(B51,""price"")"),515.75)</f>
        <v>515.75</v>
      </c>
      <c r="D51" s="8">
        <f>IFERROR(__xludf.DUMMYFUNCTION("GOOGLEFINANCE(B51,""Volume"")"),289843.0)</f>
        <v>289843</v>
      </c>
      <c r="E51" s="7">
        <v>20.0</v>
      </c>
      <c r="F51" s="9" t="str">
        <f>IFERROR(__xludf.DUMMYFUNCTION("IF(D51&gt;AVERAGE(INDEX(GOOGLEFINANCE(B51,""volume"",WORKDAY(TODAY(),-$E$2),TODAY()),,2)),""Breakout"","""")"),"")</f>
        <v/>
      </c>
      <c r="G51" s="8">
        <f>IFERROR(__xludf.DUMMYFUNCTION("AVERAGE(QUERY(SORT(GOOGLEFINANCE(B51,""price"",TODAY()-365,TODAY()),1,0),""select Col2 limit 10""))"),566.225)</f>
        <v>566.225</v>
      </c>
      <c r="H51" s="10">
        <f>IFERROR(__xludf.DUMMYFUNCTION("AVERAGE(QUERY(SORT(GOOGLEFINANCE(B51,""price"",TODAY()-365,TODAY()),1,0),""select Col2 limit 30""))"),599.1466666666668)</f>
        <v>599.1466667</v>
      </c>
      <c r="I51" s="10">
        <f>IFERROR(__xludf.DUMMYFUNCTION("AVERAGE(QUERY(SORT(GOOGLEFINANCE(B51,""price"",TODAY()-365,TODAY()),1,0),""select Col2 limit 60""))"),578.2433333333332)</f>
        <v>578.2433333</v>
      </c>
      <c r="J51" s="10">
        <f>IFERROR(__xludf.DUMMYFUNCTION("AVERAGE(QUERY(SORT(GOOGLEFINANCE(B51,""price"",TODAY()-365,TODAY()),1,0),""select Col2 limit 90""))"),571.6266666666666)</f>
        <v>571.6266667</v>
      </c>
      <c r="K51" s="10">
        <f>IFERROR(__xludf.DUMMYFUNCTION("AVERAGE(QUERY(SORT(GOOGLEFINANCE(B51,""price"",TODAY()-365,TODAY()),1,0),""select Col2 limit 120""))"),546.9004166666666)</f>
        <v>546.9004167</v>
      </c>
      <c r="L51" s="10">
        <f>IFERROR(__xludf.DUMMYFUNCTION("AVERAGE(QUERY(SORT(GOOGLEFINANCE(B51,""price"",TODAY()-365,TODAY()),1,0),""select Col2 limit 200""))"),457.7849999999999)</f>
        <v>457.785</v>
      </c>
      <c r="M51" s="11" t="str">
        <f t="shared" si="2"/>
        <v>Best for Sell Below 200 DMA</v>
      </c>
    </row>
    <row r="52">
      <c r="A52" s="5" t="s">
        <v>63</v>
      </c>
      <c r="B52" s="6" t="str">
        <f t="shared" si="1"/>
        <v>NSE:LIQUIDBEES</v>
      </c>
      <c r="C52" s="7">
        <f>IFERROR(__xludf.DUMMYFUNCTION("GOOGLEFINANCE(B52,""price"")"),1000.0)</f>
        <v>1000</v>
      </c>
      <c r="D52" s="8">
        <f>IFERROR(__xludf.DUMMYFUNCTION("GOOGLEFINANCE(B52,""Volume"")"),1095697.0)</f>
        <v>1095697</v>
      </c>
      <c r="E52" s="7">
        <v>20.0</v>
      </c>
      <c r="F52" s="9" t="str">
        <f>IFERROR(__xludf.DUMMYFUNCTION("IF(D52&gt;AVERAGE(INDEX(GOOGLEFINANCE(B52,""volume"",WORKDAY(TODAY(),-$E$2),TODAY()),,2)),""Breakout"","""")"),"")</f>
        <v/>
      </c>
      <c r="G52" s="8">
        <f>IFERROR(__xludf.DUMMYFUNCTION("AVERAGE(QUERY(SORT(GOOGLEFINANCE(B52,""price"",TODAY()-365,TODAY()),1,0),""select Col2 limit 10""))"),999.9959999999999)</f>
        <v>999.996</v>
      </c>
      <c r="H52" s="10">
        <f>IFERROR(__xludf.DUMMYFUNCTION("AVERAGE(QUERY(SORT(GOOGLEFINANCE(B52,""price"",TODAY()-365,TODAY()),1,0),""select Col2 limit 30""))"),999.994666666667)</f>
        <v>999.9946667</v>
      </c>
      <c r="I52" s="10">
        <f>IFERROR(__xludf.DUMMYFUNCTION("AVERAGE(QUERY(SORT(GOOGLEFINANCE(B52,""price"",TODAY()-365,TODAY()),1,0),""select Col2 limit 60""))"),999.9958333333332)</f>
        <v>999.9958333</v>
      </c>
      <c r="J52" s="10">
        <f>IFERROR(__xludf.DUMMYFUNCTION("AVERAGE(QUERY(SORT(GOOGLEFINANCE(B52,""price"",TODAY()-365,TODAY()),1,0),""select Col2 limit 90""))"),999.995555555556)</f>
        <v>999.9955556</v>
      </c>
      <c r="K52" s="10">
        <f>IFERROR(__xludf.DUMMYFUNCTION("AVERAGE(QUERY(SORT(GOOGLEFINANCE(B52,""price"",TODAY()-365,TODAY()),1,0),""select Col2 limit 120""))"),999.996083333334)</f>
        <v>999.9960833</v>
      </c>
      <c r="L52" s="10">
        <f>IFERROR(__xludf.DUMMYFUNCTION("AVERAGE(QUERY(SORT(GOOGLEFINANCE(B52,""price"",TODAY()-365,TODAY()),1,0),""select Col2 limit 200""))"),999.9962999999995)</f>
        <v>999.9963</v>
      </c>
      <c r="M52" s="11" t="str">
        <f t="shared" si="2"/>
        <v>Avoid</v>
      </c>
    </row>
    <row r="53">
      <c r="A53" s="5" t="s">
        <v>64</v>
      </c>
      <c r="B53" s="6" t="str">
        <f t="shared" si="1"/>
        <v>NSE:INDUSINDBK</v>
      </c>
      <c r="C53" s="7">
        <f>IFERROR(__xludf.DUMMYFUNCTION("GOOGLEFINANCE(B53,""price"")"),1062.8)</f>
        <v>1062.8</v>
      </c>
      <c r="D53" s="8">
        <f>IFERROR(__xludf.DUMMYFUNCTION("GOOGLEFINANCE(B53,""Volume"")"),2128313.0)</f>
        <v>2128313</v>
      </c>
      <c r="E53" s="7">
        <v>20.0</v>
      </c>
      <c r="F53" s="9" t="str">
        <f>IFERROR(__xludf.DUMMYFUNCTION("IF(D53&gt;AVERAGE(INDEX(GOOGLEFINANCE(B53,""volume"",WORKDAY(TODAY(),-$E$2),TODAY()),,2)),""Breakout"","""")"),"")</f>
        <v/>
      </c>
      <c r="G53" s="8">
        <f>IFERROR(__xludf.DUMMYFUNCTION("AVERAGE(QUERY(SORT(GOOGLEFINANCE(B53,""price"",TODAY()-365,TODAY()),1,0),""select Col2 limit 10""))"),1173.075)</f>
        <v>1173.075</v>
      </c>
      <c r="H53" s="10">
        <f>IFERROR(__xludf.DUMMYFUNCTION("AVERAGE(QUERY(SORT(GOOGLEFINANCE(B53,""price"",TODAY()-365,TODAY()),1,0),""select Col2 limit 30""))"),1325.7616666666665)</f>
        <v>1325.761667</v>
      </c>
      <c r="I53" s="10">
        <f>IFERROR(__xludf.DUMMYFUNCTION("AVERAGE(QUERY(SORT(GOOGLEFINANCE(B53,""price"",TODAY()-365,TODAY()),1,0),""select Col2 limit 60""))"),1364.8291666666667)</f>
        <v>1364.829167</v>
      </c>
      <c r="J53" s="10">
        <f>IFERROR(__xludf.DUMMYFUNCTION("AVERAGE(QUERY(SORT(GOOGLEFINANCE(B53,""price"",TODAY()-365,TODAY()),1,0),""select Col2 limit 90""))"),1387.6788888888887)</f>
        <v>1387.678889</v>
      </c>
      <c r="K53" s="10">
        <f>IFERROR(__xludf.DUMMYFUNCTION("AVERAGE(QUERY(SORT(GOOGLEFINANCE(B53,""price"",TODAY()-365,TODAY()),1,0),""select Col2 limit 120""))"),1406.5837500000002)</f>
        <v>1406.58375</v>
      </c>
      <c r="L53" s="10">
        <f>IFERROR(__xludf.DUMMYFUNCTION("AVERAGE(QUERY(SORT(GOOGLEFINANCE(B53,""price"",TODAY()-365,TODAY()),1,0),""select Col2 limit 200""))"),1451.6172499999998)</f>
        <v>1451.61725</v>
      </c>
      <c r="M53" s="11" t="str">
        <f t="shared" si="2"/>
        <v>Avoid</v>
      </c>
    </row>
    <row r="54">
      <c r="A54" s="5" t="s">
        <v>65</v>
      </c>
      <c r="B54" s="6" t="str">
        <f t="shared" si="1"/>
        <v>NSE:ADANIPORTS</v>
      </c>
      <c r="C54" s="7">
        <f>IFERROR(__xludf.DUMMYFUNCTION("GOOGLEFINANCE(B54,""price"")"),1351.25)</f>
        <v>1351.25</v>
      </c>
      <c r="D54" s="8">
        <f>IFERROR(__xludf.DUMMYFUNCTION("GOOGLEFINANCE(B54,""Volume"")"),877607.0)</f>
        <v>877607</v>
      </c>
      <c r="E54" s="7">
        <v>20.0</v>
      </c>
      <c r="F54" s="9" t="str">
        <f>IFERROR(__xludf.DUMMYFUNCTION("IF(D54&gt;AVERAGE(INDEX(GOOGLEFINANCE(B54,""volume"",WORKDAY(TODAY(),-$E$2),TODAY()),,2)),""Breakout"","""")"),"")</f>
        <v/>
      </c>
      <c r="G54" s="8">
        <f>IFERROR(__xludf.DUMMYFUNCTION("AVERAGE(QUERY(SORT(GOOGLEFINANCE(B54,""price"",TODAY()-365,TODAY()),1,0),""select Col2 limit 10""))"),1365.4550000000002)</f>
        <v>1365.455</v>
      </c>
      <c r="H54" s="10">
        <f>IFERROR(__xludf.DUMMYFUNCTION("AVERAGE(QUERY(SORT(GOOGLEFINANCE(B54,""price"",TODAY()-365,TODAY()),1,0),""select Col2 limit 30""))"),1406.2383333333335)</f>
        <v>1406.238333</v>
      </c>
      <c r="I54" s="10">
        <f>IFERROR(__xludf.DUMMYFUNCTION("AVERAGE(QUERY(SORT(GOOGLEFINANCE(B54,""price"",TODAY()-365,TODAY()),1,0),""select Col2 limit 60""))"),1441.3925000000004)</f>
        <v>1441.3925</v>
      </c>
      <c r="J54" s="10">
        <f>IFERROR(__xludf.DUMMYFUNCTION("AVERAGE(QUERY(SORT(GOOGLEFINANCE(B54,""price"",TODAY()-365,TODAY()),1,0),""select Col2 limit 90""))"),1461.3816666666671)</f>
        <v>1461.381667</v>
      </c>
      <c r="K54" s="10">
        <f>IFERROR(__xludf.DUMMYFUNCTION("AVERAGE(QUERY(SORT(GOOGLEFINANCE(B54,""price"",TODAY()-365,TODAY()),1,0),""select Col2 limit 120""))"),1444.8166666666677)</f>
        <v>1444.816667</v>
      </c>
      <c r="L54" s="10">
        <f>IFERROR(__xludf.DUMMYFUNCTION("AVERAGE(QUERY(SORT(GOOGLEFINANCE(B54,""price"",TODAY()-365,TODAY()),1,0),""select Col2 limit 200""))"),1379.4772499999997)</f>
        <v>1379.47725</v>
      </c>
      <c r="M54" s="11" t="str">
        <f t="shared" si="2"/>
        <v>Avoid</v>
      </c>
    </row>
    <row r="55">
      <c r="A55" s="5" t="s">
        <v>66</v>
      </c>
      <c r="B55" s="6" t="str">
        <f t="shared" si="1"/>
        <v>NSE:EXICOM</v>
      </c>
      <c r="C55" s="7">
        <f>IFERROR(__xludf.DUMMYFUNCTION("GOOGLEFINANCE(B55,""price"")"),333.0)</f>
        <v>333</v>
      </c>
      <c r="D55" s="8">
        <f>IFERROR(__xludf.DUMMYFUNCTION("GOOGLEFINANCE(B55,""Volume"")"),410031.0)</f>
        <v>410031</v>
      </c>
      <c r="E55" s="7">
        <v>20.0</v>
      </c>
      <c r="F55" s="9" t="str">
        <f>IFERROR(__xludf.DUMMYFUNCTION("IF(D55&gt;AVERAGE(INDEX(GOOGLEFINANCE(B55,""volume"",WORKDAY(TODAY(),-$E$2),TODAY()),,2)),""Breakout"","""")"),"Breakout")</f>
        <v>Breakout</v>
      </c>
      <c r="G55" s="8">
        <f>IFERROR(__xludf.DUMMYFUNCTION("AVERAGE(QUERY(SORT(GOOGLEFINANCE(B55,""price"",TODAY()-365,TODAY()),1,0),""select Col2 limit 10""))"),311.31000000000006)</f>
        <v>311.31</v>
      </c>
      <c r="H55" s="10">
        <f>IFERROR(__xludf.DUMMYFUNCTION("AVERAGE(QUERY(SORT(GOOGLEFINANCE(B55,""price"",TODAY()-365,TODAY()),1,0),""select Col2 limit 30""))"),319.08166666666676)</f>
        <v>319.0816667</v>
      </c>
      <c r="I55" s="10">
        <f>IFERROR(__xludf.DUMMYFUNCTION("AVERAGE(QUERY(SORT(GOOGLEFINANCE(B55,""price"",TODAY()-365,TODAY()),1,0),""select Col2 limit 60""))"),347.9883333333333)</f>
        <v>347.9883333</v>
      </c>
      <c r="J55" s="10">
        <f>IFERROR(__xludf.DUMMYFUNCTION("AVERAGE(QUERY(SORT(GOOGLEFINANCE(B55,""price"",TODAY()-365,TODAY()),1,0),""select Col2 limit 90""))"),383.4577777777777)</f>
        <v>383.4577778</v>
      </c>
      <c r="K55" s="10">
        <f>IFERROR(__xludf.DUMMYFUNCTION("AVERAGE(QUERY(SORT(GOOGLEFINANCE(B55,""price"",TODAY()-365,TODAY()),1,0),""select Col2 limit 120""))"),363.6754166666669)</f>
        <v>363.6754167</v>
      </c>
      <c r="L55" s="10">
        <f>IFERROR(__xludf.DUMMYFUNCTION("AVERAGE(QUERY(SORT(GOOGLEFINANCE(B55,""price"",TODAY()-365,TODAY()),1,0),""select Col2 limit 200""))"),332.93602484472063)</f>
        <v>332.9360248</v>
      </c>
      <c r="M55" s="11" t="str">
        <f t="shared" si="2"/>
        <v>Avoid</v>
      </c>
    </row>
    <row r="56">
      <c r="A56" s="5" t="s">
        <v>67</v>
      </c>
      <c r="B56" s="6" t="str">
        <f t="shared" si="1"/>
        <v>NSE:SUNPHARMA</v>
      </c>
      <c r="C56" s="7">
        <f>IFERROR(__xludf.DUMMYFUNCTION("GOOGLEFINANCE(B56,""price"")"),1784.65)</f>
        <v>1784.65</v>
      </c>
      <c r="D56" s="8">
        <f>IFERROR(__xludf.DUMMYFUNCTION("GOOGLEFINANCE(B56,""Volume"")"),2854099.0)</f>
        <v>2854099</v>
      </c>
      <c r="E56" s="7">
        <v>20.0</v>
      </c>
      <c r="F56" s="9" t="str">
        <f>IFERROR(__xludf.DUMMYFUNCTION("IF(D56&gt;AVERAGE(INDEX(GOOGLEFINANCE(B56,""volume"",WORKDAY(TODAY(),-$E$2),TODAY()),,2)),""Breakout"","""")"),"Breakout")</f>
        <v>Breakout</v>
      </c>
      <c r="G56" s="8">
        <f>IFERROR(__xludf.DUMMYFUNCTION("AVERAGE(QUERY(SORT(GOOGLEFINANCE(B56,""price"",TODAY()-365,TODAY()),1,0),""select Col2 limit 10""))"),1871.9049999999995)</f>
        <v>1871.905</v>
      </c>
      <c r="H56" s="10">
        <f>IFERROR(__xludf.DUMMYFUNCTION("AVERAGE(QUERY(SORT(GOOGLEFINANCE(B56,""price"",TODAY()-365,TODAY()),1,0),""select Col2 limit 30""))"),1889.5349999999996)</f>
        <v>1889.535</v>
      </c>
      <c r="I56" s="10">
        <f>IFERROR(__xludf.DUMMYFUNCTION("AVERAGE(QUERY(SORT(GOOGLEFINANCE(B56,""price"",TODAY()-365,TODAY()),1,0),""select Col2 limit 60""))"),1842.5066666666667)</f>
        <v>1842.506667</v>
      </c>
      <c r="J56" s="10">
        <f>IFERROR(__xludf.DUMMYFUNCTION("AVERAGE(QUERY(SORT(GOOGLEFINANCE(B56,""price"",TODAY()-365,TODAY()),1,0),""select Col2 limit 90""))"),1763.927222222222)</f>
        <v>1763.927222</v>
      </c>
      <c r="K56" s="10">
        <f>IFERROR(__xludf.DUMMYFUNCTION("AVERAGE(QUERY(SORT(GOOGLEFINANCE(B56,""price"",TODAY()-365,TODAY()),1,0),""select Col2 limit 120""))"),1697.2516666666663)</f>
        <v>1697.251667</v>
      </c>
      <c r="L56" s="10">
        <f>IFERROR(__xludf.DUMMYFUNCTION("AVERAGE(QUERY(SORT(GOOGLEFINANCE(B56,""price"",TODAY()-365,TODAY()),1,0),""select Col2 limit 200""))"),1620.8632499999994)</f>
        <v>1620.86325</v>
      </c>
      <c r="M56" s="11" t="str">
        <f t="shared" si="2"/>
        <v>Avoid</v>
      </c>
    </row>
    <row r="57">
      <c r="A57" s="5" t="s">
        <v>68</v>
      </c>
      <c r="B57" s="6" t="str">
        <f t="shared" si="1"/>
        <v>NSE:ZEEL</v>
      </c>
      <c r="C57" s="7">
        <f>IFERROR(__xludf.DUMMYFUNCTION("GOOGLEFINANCE(B57,""price"")"),120.55)</f>
        <v>120.55</v>
      </c>
      <c r="D57" s="8">
        <f>IFERROR(__xludf.DUMMYFUNCTION("GOOGLEFINANCE(B57,""Volume"")"),2680760.0)</f>
        <v>2680760</v>
      </c>
      <c r="E57" s="7">
        <v>20.0</v>
      </c>
      <c r="F57" s="9" t="str">
        <f>IFERROR(__xludf.DUMMYFUNCTION("IF(D57&gt;AVERAGE(INDEX(GOOGLEFINANCE(B57,""volume"",WORKDAY(TODAY(),-$E$2),TODAY()),,2)),""Breakout"","""")"),"")</f>
        <v/>
      </c>
      <c r="G57" s="8">
        <f>IFERROR(__xludf.DUMMYFUNCTION("AVERAGE(QUERY(SORT(GOOGLEFINANCE(B57,""price"",TODAY()-365,TODAY()),1,0),""select Col2 limit 10""))"),123.38199999999999)</f>
        <v>123.382</v>
      </c>
      <c r="H57" s="10">
        <f>IFERROR(__xludf.DUMMYFUNCTION("AVERAGE(QUERY(SORT(GOOGLEFINANCE(B57,""price"",TODAY()-365,TODAY()),1,0),""select Col2 limit 30""))"),128.37866666666665)</f>
        <v>128.3786667</v>
      </c>
      <c r="I57" s="10">
        <f>IFERROR(__xludf.DUMMYFUNCTION("AVERAGE(QUERY(SORT(GOOGLEFINANCE(B57,""price"",TODAY()-365,TODAY()),1,0),""select Col2 limit 60""))"),132.77316666666658)</f>
        <v>132.7731667</v>
      </c>
      <c r="J57" s="10">
        <f>IFERROR(__xludf.DUMMYFUNCTION("AVERAGE(QUERY(SORT(GOOGLEFINANCE(B57,""price"",TODAY()-365,TODAY()),1,0),""select Col2 limit 90""))"),137.30166666666668)</f>
        <v>137.3016667</v>
      </c>
      <c r="K57" s="10">
        <f>IFERROR(__xludf.DUMMYFUNCTION("AVERAGE(QUERY(SORT(GOOGLEFINANCE(B57,""price"",TODAY()-365,TODAY()),1,0),""select Col2 limit 120""))"),140.43824999999998)</f>
        <v>140.43825</v>
      </c>
      <c r="L57" s="10">
        <f>IFERROR(__xludf.DUMMYFUNCTION("AVERAGE(QUERY(SORT(GOOGLEFINANCE(B57,""price"",TODAY()-365,TODAY()),1,0),""select Col2 limit 200""))"),151.96669999999997)</f>
        <v>151.9667</v>
      </c>
      <c r="M57" s="11" t="str">
        <f t="shared" si="2"/>
        <v>Avoid</v>
      </c>
    </row>
    <row r="58">
      <c r="A58" s="5" t="s">
        <v>69</v>
      </c>
      <c r="B58" s="6" t="str">
        <f t="shared" si="1"/>
        <v>NSE:WIPRO</v>
      </c>
      <c r="C58" s="7">
        <f>IFERROR(__xludf.DUMMYFUNCTION("GOOGLEFINANCE(B58,""price"")"),538.85)</f>
        <v>538.85</v>
      </c>
      <c r="D58" s="8">
        <f>IFERROR(__xludf.DUMMYFUNCTION("GOOGLEFINANCE(B58,""Volume"")"),2871145.0)</f>
        <v>2871145</v>
      </c>
      <c r="E58" s="7">
        <v>20.0</v>
      </c>
      <c r="F58" s="9" t="str">
        <f>IFERROR(__xludf.DUMMYFUNCTION("IF(D58&gt;AVERAGE(INDEX(GOOGLEFINANCE(B58,""volume"",WORKDAY(TODAY(),-$E$2),TODAY()),,2)),""Breakout"","""")"),"")</f>
        <v/>
      </c>
      <c r="G58" s="8">
        <f>IFERROR(__xludf.DUMMYFUNCTION("AVERAGE(QUERY(SORT(GOOGLEFINANCE(B58,""price"",TODAY()-365,TODAY()),1,0),""select Col2 limit 10""))"),551.76)</f>
        <v>551.76</v>
      </c>
      <c r="H58" s="10">
        <f>IFERROR(__xludf.DUMMYFUNCTION("AVERAGE(QUERY(SORT(GOOGLEFINANCE(B58,""price"",TODAY()-365,TODAY()),1,0),""select Col2 limit 30""))"),540.7516666666667)</f>
        <v>540.7516667</v>
      </c>
      <c r="I58" s="10">
        <f>IFERROR(__xludf.DUMMYFUNCTION("AVERAGE(QUERY(SORT(GOOGLEFINANCE(B58,""price"",TODAY()-365,TODAY()),1,0),""select Col2 limit 60""))"),530.8525000000001)</f>
        <v>530.8525</v>
      </c>
      <c r="J58" s="10">
        <f>IFERROR(__xludf.DUMMYFUNCTION("AVERAGE(QUERY(SORT(GOOGLEFINANCE(B58,""price"",TODAY()-365,TODAY()),1,0),""select Col2 limit 90""))"),528.9466666666666)</f>
        <v>528.9466667</v>
      </c>
      <c r="K58" s="10">
        <f>IFERROR(__xludf.DUMMYFUNCTION("AVERAGE(QUERY(SORT(GOOGLEFINANCE(B58,""price"",TODAY()-365,TODAY()),1,0),""select Col2 limit 120""))"),513.0158333333334)</f>
        <v>513.0158333</v>
      </c>
      <c r="L58" s="10">
        <f>IFERROR(__xludf.DUMMYFUNCTION("AVERAGE(QUERY(SORT(GOOGLEFINANCE(B58,""price"",TODAY()-365,TODAY()),1,0),""select Col2 limit 200""))"),502.96975)</f>
        <v>502.96975</v>
      </c>
      <c r="M58" s="11" t="str">
        <f t="shared" si="2"/>
        <v>Avoid</v>
      </c>
    </row>
    <row r="59">
      <c r="A59" s="5" t="s">
        <v>70</v>
      </c>
      <c r="B59" s="6" t="str">
        <f t="shared" si="1"/>
        <v>NSE:ADANIENSOL</v>
      </c>
      <c r="C59" s="7">
        <f>IFERROR(__xludf.DUMMYFUNCTION("GOOGLEFINANCE(B59,""price"")"),974.8)</f>
        <v>974.8</v>
      </c>
      <c r="D59" s="8">
        <f>IFERROR(__xludf.DUMMYFUNCTION("GOOGLEFINANCE(B59,""Volume"")"),427416.0)</f>
        <v>427416</v>
      </c>
      <c r="E59" s="7">
        <v>20.0</v>
      </c>
      <c r="F59" s="9" t="str">
        <f>IFERROR(__xludf.DUMMYFUNCTION("IF(D59&gt;AVERAGE(INDEX(GOOGLEFINANCE(B59,""volume"",WORKDAY(TODAY(),-$E$2),TODAY()),,2)),""Breakout"","""")"),"")</f>
        <v/>
      </c>
      <c r="G59" s="8">
        <f>IFERROR(__xludf.DUMMYFUNCTION("AVERAGE(QUERY(SORT(GOOGLEFINANCE(B59,""price"",TODAY()-365,TODAY()),1,0),""select Col2 limit 10""))"),974.07)</f>
        <v>974.07</v>
      </c>
      <c r="H59" s="10">
        <f>IFERROR(__xludf.DUMMYFUNCTION("AVERAGE(QUERY(SORT(GOOGLEFINANCE(B59,""price"",TODAY()-365,TODAY()),1,0),""select Col2 limit 30""))"),995.2083333333335)</f>
        <v>995.2083333</v>
      </c>
      <c r="I59" s="10">
        <f>IFERROR(__xludf.DUMMYFUNCTION("AVERAGE(QUERY(SORT(GOOGLEFINANCE(B59,""price"",TODAY()-365,TODAY()),1,0),""select Col2 limit 60""))"),1018.8925000000002)</f>
        <v>1018.8925</v>
      </c>
      <c r="J59" s="10">
        <f>IFERROR(__xludf.DUMMYFUNCTION("AVERAGE(QUERY(SORT(GOOGLEFINANCE(B59,""price"",TODAY()-365,TODAY()),1,0),""select Col2 limit 90""))"),1029.2983333333332)</f>
        <v>1029.298333</v>
      </c>
      <c r="K59" s="10">
        <f>IFERROR(__xludf.DUMMYFUNCTION("AVERAGE(QUERY(SORT(GOOGLEFINANCE(B59,""price"",TODAY()-365,TODAY()),1,0),""select Col2 limit 120""))"),1032.8083333333334)</f>
        <v>1032.808333</v>
      </c>
      <c r="L59" s="10">
        <f>IFERROR(__xludf.DUMMYFUNCTION("AVERAGE(QUERY(SORT(GOOGLEFINANCE(B59,""price"",TODAY()-365,TODAY()),1,0),""select Col2 limit 200""))"),1045.4697500000004)</f>
        <v>1045.46975</v>
      </c>
      <c r="M59" s="11" t="str">
        <f t="shared" si="2"/>
        <v>Avoid</v>
      </c>
    </row>
    <row r="60">
      <c r="A60" s="5" t="s">
        <v>71</v>
      </c>
      <c r="B60" s="6" t="str">
        <f t="shared" si="1"/>
        <v>NSE:SJVN</v>
      </c>
      <c r="C60" s="7">
        <f>IFERROR(__xludf.DUMMYFUNCTION("GOOGLEFINANCE(B60,""price"")"),111.65)</f>
        <v>111.65</v>
      </c>
      <c r="D60" s="8">
        <f>IFERROR(__xludf.DUMMYFUNCTION("GOOGLEFINANCE(B60,""Volume"")"),2778820.0)</f>
        <v>2778820</v>
      </c>
      <c r="E60" s="7">
        <v>20.0</v>
      </c>
      <c r="F60" s="9" t="str">
        <f>IFERROR(__xludf.DUMMYFUNCTION("IF(D60&gt;AVERAGE(INDEX(GOOGLEFINANCE(B60,""volume"",WORKDAY(TODAY(),-$E$2),TODAY()),,2)),""Breakout"","""")"),"")</f>
        <v/>
      </c>
      <c r="G60" s="8">
        <f>IFERROR(__xludf.DUMMYFUNCTION("AVERAGE(QUERY(SORT(GOOGLEFINANCE(B60,""price"",TODAY()-365,TODAY()),1,0),""select Col2 limit 10""))"),113.037)</f>
        <v>113.037</v>
      </c>
      <c r="H60" s="10">
        <f>IFERROR(__xludf.DUMMYFUNCTION("AVERAGE(QUERY(SORT(GOOGLEFINANCE(B60,""price"",TODAY()-365,TODAY()),1,0),""select Col2 limit 30""))"),120.97766666666668)</f>
        <v>120.9776667</v>
      </c>
      <c r="I60" s="10">
        <f>IFERROR(__xludf.DUMMYFUNCTION("AVERAGE(QUERY(SORT(GOOGLEFINANCE(B60,""price"",TODAY()-365,TODAY()),1,0),""select Col2 limit 60""))"),127.87233333333334)</f>
        <v>127.8723333</v>
      </c>
      <c r="J60" s="10">
        <f>IFERROR(__xludf.DUMMYFUNCTION("AVERAGE(QUERY(SORT(GOOGLEFINANCE(B60,""price"",TODAY()-365,TODAY()),1,0),""select Col2 limit 90""))"),132.68177777777785)</f>
        <v>132.6817778</v>
      </c>
      <c r="K60" s="10">
        <f>IFERROR(__xludf.DUMMYFUNCTION("AVERAGE(QUERY(SORT(GOOGLEFINANCE(B60,""price"",TODAY()-365,TODAY()),1,0),""select Col2 limit 120""))"),133.22116666666676)</f>
        <v>133.2211667</v>
      </c>
      <c r="L60" s="10">
        <f>IFERROR(__xludf.DUMMYFUNCTION("AVERAGE(QUERY(SORT(GOOGLEFINANCE(B60,""price"",TODAY()-365,TODAY()),1,0),""select Col2 limit 200""))"),129.13395000000014)</f>
        <v>129.13395</v>
      </c>
      <c r="M60" s="11" t="str">
        <f t="shared" si="2"/>
        <v>Avoid</v>
      </c>
    </row>
    <row r="61">
      <c r="A61" s="5" t="s">
        <v>72</v>
      </c>
      <c r="B61" s="6" t="str">
        <f t="shared" si="1"/>
        <v>NSE:NATIONALUM</v>
      </c>
      <c r="C61" s="7">
        <f>IFERROR(__xludf.DUMMYFUNCTION("GOOGLEFINANCE(B61,""price"")"),227.35)</f>
        <v>227.35</v>
      </c>
      <c r="D61" s="8">
        <f>IFERROR(__xludf.DUMMYFUNCTION("GOOGLEFINANCE(B61,""Volume"")"),7675133.0)</f>
        <v>7675133</v>
      </c>
      <c r="E61" s="7">
        <v>20.0</v>
      </c>
      <c r="F61" s="9" t="str">
        <f>IFERROR(__xludf.DUMMYFUNCTION("IF(D61&gt;AVERAGE(INDEX(GOOGLEFINANCE(B61,""volume"",WORKDAY(TODAY(),-$E$2),TODAY()),,2)),""Breakout"","""")"),"")</f>
        <v/>
      </c>
      <c r="G61" s="8">
        <f>IFERROR(__xludf.DUMMYFUNCTION("AVERAGE(QUERY(SORT(GOOGLEFINANCE(B61,""price"",TODAY()-365,TODAY()),1,0),""select Col2 limit 10""))"),225.82999999999998)</f>
        <v>225.83</v>
      </c>
      <c r="H61" s="10">
        <f>IFERROR(__xludf.DUMMYFUNCTION("AVERAGE(QUERY(SORT(GOOGLEFINANCE(B61,""price"",TODAY()-365,TODAY()),1,0),""select Col2 limit 30""))"),214.81966666666665)</f>
        <v>214.8196667</v>
      </c>
      <c r="I61" s="10">
        <f>IFERROR(__xludf.DUMMYFUNCTION("AVERAGE(QUERY(SORT(GOOGLEFINANCE(B61,""price"",TODAY()-365,TODAY()),1,0),""select Col2 limit 60""))"),195.79749999999999)</f>
        <v>195.7975</v>
      </c>
      <c r="J61" s="10">
        <f>IFERROR(__xludf.DUMMYFUNCTION("AVERAGE(QUERY(SORT(GOOGLEFINANCE(B61,""price"",TODAY()-365,TODAY()),1,0),""select Col2 limit 90""))"),194.30022222222223)</f>
        <v>194.3002222</v>
      </c>
      <c r="K61" s="10">
        <f>IFERROR(__xludf.DUMMYFUNCTION("AVERAGE(QUERY(SORT(GOOGLEFINANCE(B61,""price"",TODAY()-365,TODAY()),1,0),""select Col2 limit 120""))"),192.66416666666672)</f>
        <v>192.6641667</v>
      </c>
      <c r="L61" s="10">
        <f>IFERROR(__xludf.DUMMYFUNCTION("AVERAGE(QUERY(SORT(GOOGLEFINANCE(B61,""price"",TODAY()-365,TODAY()),1,0),""select Col2 limit 200""))"),179.02975000000004)</f>
        <v>179.02975</v>
      </c>
      <c r="M61" s="11" t="str">
        <f t="shared" si="2"/>
        <v>Avoid</v>
      </c>
    </row>
    <row r="62">
      <c r="A62" s="5" t="s">
        <v>73</v>
      </c>
      <c r="B62" s="6" t="str">
        <f t="shared" si="1"/>
        <v>NSE:HINDUNILVR</v>
      </c>
      <c r="C62" s="7">
        <f>IFERROR(__xludf.DUMMYFUNCTION("GOOGLEFINANCE(B62,""price"")"),2529.2)</f>
        <v>2529.2</v>
      </c>
      <c r="D62" s="8">
        <f>IFERROR(__xludf.DUMMYFUNCTION("GOOGLEFINANCE(B62,""Volume"")"),419772.0)</f>
        <v>419772</v>
      </c>
      <c r="E62" s="7">
        <v>20.0</v>
      </c>
      <c r="F62" s="9" t="str">
        <f>IFERROR(__xludf.DUMMYFUNCTION("IF(D62&gt;AVERAGE(INDEX(GOOGLEFINANCE(B62,""volume"",WORKDAY(TODAY(),-$E$2),TODAY()),,2)),""Breakout"","""")"),"")</f>
        <v/>
      </c>
      <c r="G62" s="8">
        <f>IFERROR(__xludf.DUMMYFUNCTION("AVERAGE(QUERY(SORT(GOOGLEFINANCE(B62,""price"",TODAY()-365,TODAY()),1,0),""select Col2 limit 10""))"),2599.145)</f>
        <v>2599.145</v>
      </c>
      <c r="H62" s="10">
        <f>IFERROR(__xludf.DUMMYFUNCTION("AVERAGE(QUERY(SORT(GOOGLEFINANCE(B62,""price"",TODAY()-365,TODAY()),1,0),""select Col2 limit 30""))"),2781.1616666666673)</f>
        <v>2781.161667</v>
      </c>
      <c r="I62" s="10">
        <f>IFERROR(__xludf.DUMMYFUNCTION("AVERAGE(QUERY(SORT(GOOGLEFINANCE(B62,""price"",TODAY()-365,TODAY()),1,0),""select Col2 limit 60""))"),2796.0150000000003)</f>
        <v>2796.015</v>
      </c>
      <c r="J62" s="10">
        <f>IFERROR(__xludf.DUMMYFUNCTION("AVERAGE(QUERY(SORT(GOOGLEFINANCE(B62,""price"",TODAY()-365,TODAY()),1,0),""select Col2 limit 90""))"),2739.223333333333)</f>
        <v>2739.223333</v>
      </c>
      <c r="K62" s="10">
        <f>IFERROR(__xludf.DUMMYFUNCTION("AVERAGE(QUERY(SORT(GOOGLEFINANCE(B62,""price"",TODAY()-365,TODAY()),1,0),""select Col2 limit 120""))"),2661.35)</f>
        <v>2661.35</v>
      </c>
      <c r="L62" s="10">
        <f>IFERROR(__xludf.DUMMYFUNCTION("AVERAGE(QUERY(SORT(GOOGLEFINANCE(B62,""price"",TODAY()-365,TODAY()),1,0),""select Col2 limit 200""))"),2541.58225)</f>
        <v>2541.58225</v>
      </c>
      <c r="M62" s="11" t="str">
        <f t="shared" si="2"/>
        <v>Avoid</v>
      </c>
    </row>
    <row r="63">
      <c r="A63" s="5" t="s">
        <v>74</v>
      </c>
      <c r="B63" s="6" t="str">
        <f t="shared" si="1"/>
        <v>NSE:BFUTILITIE</v>
      </c>
      <c r="C63" s="7">
        <f>IFERROR(__xludf.DUMMYFUNCTION("GOOGLEFINANCE(B63,""price"")"),840.0)</f>
        <v>840</v>
      </c>
      <c r="D63" s="8">
        <f>IFERROR(__xludf.DUMMYFUNCTION("GOOGLEFINANCE(B63,""Volume"")"),21774.0)</f>
        <v>21774</v>
      </c>
      <c r="E63" s="7">
        <v>20.0</v>
      </c>
      <c r="F63" s="9" t="str">
        <f>IFERROR(__xludf.DUMMYFUNCTION("IF(D63&gt;AVERAGE(INDEX(GOOGLEFINANCE(B63,""volume"",WORKDAY(TODAY(),-$E$2),TODAY()),,2)),""Breakout"","""")"),"")</f>
        <v/>
      </c>
      <c r="G63" s="8">
        <f>IFERROR(__xludf.DUMMYFUNCTION("AVERAGE(QUERY(SORT(GOOGLEFINANCE(B63,""price"",TODAY()-365,TODAY()),1,0),""select Col2 limit 10""))"),902.2149999999999)</f>
        <v>902.215</v>
      </c>
      <c r="H63" s="10">
        <f>IFERROR(__xludf.DUMMYFUNCTION("AVERAGE(QUERY(SORT(GOOGLEFINANCE(B63,""price"",TODAY()-365,TODAY()),1,0),""select Col2 limit 30""))"),951.0433333333333)</f>
        <v>951.0433333</v>
      </c>
      <c r="I63" s="10">
        <f>IFERROR(__xludf.DUMMYFUNCTION("AVERAGE(QUERY(SORT(GOOGLEFINANCE(B63,""price"",TODAY()-365,TODAY()),1,0),""select Col2 limit 60""))"),866.65)</f>
        <v>866.65</v>
      </c>
      <c r="J63" s="10">
        <f>IFERROR(__xludf.DUMMYFUNCTION("AVERAGE(QUERY(SORT(GOOGLEFINANCE(B63,""price"",TODAY()-365,TODAY()),1,0),""select Col2 limit 90""))"),854.8666666666667)</f>
        <v>854.8666667</v>
      </c>
      <c r="K63" s="10">
        <f>IFERROR(__xludf.DUMMYFUNCTION("AVERAGE(QUERY(SORT(GOOGLEFINANCE(B63,""price"",TODAY()-365,TODAY()),1,0),""select Col2 limit 120""))"),865.2620833333335)</f>
        <v>865.2620833</v>
      </c>
      <c r="L63" s="10">
        <f>IFERROR(__xludf.DUMMYFUNCTION("AVERAGE(QUERY(SORT(GOOGLEFINANCE(B63,""price"",TODAY()-365,TODAY()),1,0),""select Col2 limit 200""))"),820.0082500000003)</f>
        <v>820.00825</v>
      </c>
      <c r="M63" s="11" t="str">
        <f t="shared" si="2"/>
        <v>Best for Sell Below 200 DMA</v>
      </c>
    </row>
    <row r="64">
      <c r="A64" s="5" t="s">
        <v>75</v>
      </c>
      <c r="B64" s="6" t="str">
        <f t="shared" si="1"/>
        <v>NSE:SOLARINDS</v>
      </c>
      <c r="C64" s="7">
        <f>IFERROR(__xludf.DUMMYFUNCTION("GOOGLEFINANCE(B64,""price"")"),10050.0)</f>
        <v>10050</v>
      </c>
      <c r="D64" s="8">
        <f>IFERROR(__xludf.DUMMYFUNCTION("GOOGLEFINANCE(B64,""Volume"")"),37708.0)</f>
        <v>37708</v>
      </c>
      <c r="E64" s="7">
        <v>20.0</v>
      </c>
      <c r="F64" s="9" t="str">
        <f>IFERROR(__xludf.DUMMYFUNCTION("IF(D64&gt;AVERAGE(INDEX(GOOGLEFINANCE(B64,""volume"",WORKDAY(TODAY(),-$E$2),TODAY()),,2)),""Breakout"","""")"),"")</f>
        <v/>
      </c>
      <c r="G64" s="8">
        <f>IFERROR(__xludf.DUMMYFUNCTION("AVERAGE(QUERY(SORT(GOOGLEFINANCE(B64,""price"",TODAY()-365,TODAY()),1,0),""select Col2 limit 10""))"),10665.310000000001)</f>
        <v>10665.31</v>
      </c>
      <c r="H64" s="10">
        <f>IFERROR(__xludf.DUMMYFUNCTION("AVERAGE(QUERY(SORT(GOOGLEFINANCE(B64,""price"",TODAY()-365,TODAY()),1,0),""select Col2 limit 30""))"),11095.116666666669)</f>
        <v>11095.11667</v>
      </c>
      <c r="I64" s="10">
        <f>IFERROR(__xludf.DUMMYFUNCTION("AVERAGE(QUERY(SORT(GOOGLEFINANCE(B64,""price"",TODAY()-365,TODAY()),1,0),""select Col2 limit 60""))"),10855.874166666666)</f>
        <v>10855.87417</v>
      </c>
      <c r="J64" s="10">
        <f>IFERROR(__xludf.DUMMYFUNCTION("AVERAGE(QUERY(SORT(GOOGLEFINANCE(B64,""price"",TODAY()-365,TODAY()),1,0),""select Col2 limit 90""))"),10918.281111111111)</f>
        <v>10918.28111</v>
      </c>
      <c r="K64" s="10">
        <f>IFERROR(__xludf.DUMMYFUNCTION("AVERAGE(QUERY(SORT(GOOGLEFINANCE(B64,""price"",TODAY()-365,TODAY()),1,0),""select Col2 limit 120""))"),10536.732916666666)</f>
        <v>10536.73292</v>
      </c>
      <c r="L64" s="10">
        <f>IFERROR(__xludf.DUMMYFUNCTION("AVERAGE(QUERY(SORT(GOOGLEFINANCE(B64,""price"",TODAY()-365,TODAY()),1,0),""select Col2 limit 200""))"),9412.2925)</f>
        <v>9412.2925</v>
      </c>
      <c r="M64" s="11" t="str">
        <f t="shared" si="2"/>
        <v>Best for Sell Below 200 DMA</v>
      </c>
    </row>
    <row r="65">
      <c r="A65" s="5" t="s">
        <v>76</v>
      </c>
      <c r="B65" s="6" t="str">
        <f t="shared" si="1"/>
        <v>NSE:CGPOWER</v>
      </c>
      <c r="C65" s="7">
        <f>IFERROR(__xludf.DUMMYFUNCTION("GOOGLEFINANCE(B65,""price"")"),714.35)</f>
        <v>714.35</v>
      </c>
      <c r="D65" s="8">
        <f>IFERROR(__xludf.DUMMYFUNCTION("GOOGLEFINANCE(B65,""Volume"")"),777704.0)</f>
        <v>777704</v>
      </c>
      <c r="E65" s="7">
        <v>20.0</v>
      </c>
      <c r="F65" s="9" t="str">
        <f>IFERROR(__xludf.DUMMYFUNCTION("IF(D65&gt;AVERAGE(INDEX(GOOGLEFINANCE(B65,""volume"",WORKDAY(TODAY(),-$E$2),TODAY()),,2)),""Breakout"","""")"),"")</f>
        <v/>
      </c>
      <c r="G65" s="8">
        <f>IFERROR(__xludf.DUMMYFUNCTION("AVERAGE(QUERY(SORT(GOOGLEFINANCE(B65,""price"",TODAY()-365,TODAY()),1,0),""select Col2 limit 10""))"),741.585)</f>
        <v>741.585</v>
      </c>
      <c r="H65" s="10">
        <f>IFERROR(__xludf.DUMMYFUNCTION("AVERAGE(QUERY(SORT(GOOGLEFINANCE(B65,""price"",TODAY()-365,TODAY()),1,0),""select Col2 limit 30""))"),771.1383333333332)</f>
        <v>771.1383333</v>
      </c>
      <c r="I65" s="10">
        <f>IFERROR(__xludf.DUMMYFUNCTION("AVERAGE(QUERY(SORT(GOOGLEFINANCE(B65,""price"",TODAY()-365,TODAY()),1,0),""select Col2 limit 60""))"),739.2133333333336)</f>
        <v>739.2133333</v>
      </c>
      <c r="J65" s="10">
        <f>IFERROR(__xludf.DUMMYFUNCTION("AVERAGE(QUERY(SORT(GOOGLEFINANCE(B65,""price"",TODAY()-365,TODAY()),1,0),""select Col2 limit 90""))"),732.366666666667)</f>
        <v>732.3666667</v>
      </c>
      <c r="K65" s="10">
        <f>IFERROR(__xludf.DUMMYFUNCTION("AVERAGE(QUERY(SORT(GOOGLEFINANCE(B65,""price"",TODAY()-365,TODAY()),1,0),""select Col2 limit 120""))"),711.7304166666668)</f>
        <v>711.7304167</v>
      </c>
      <c r="L65" s="10">
        <f>IFERROR(__xludf.DUMMYFUNCTION("AVERAGE(QUERY(SORT(GOOGLEFINANCE(B65,""price"",TODAY()-365,TODAY()),1,0),""select Col2 limit 200""))"),620.6897499999999)</f>
        <v>620.68975</v>
      </c>
      <c r="M65" s="11" t="str">
        <f t="shared" si="2"/>
        <v>Avoid</v>
      </c>
    </row>
    <row r="66">
      <c r="A66" s="5" t="s">
        <v>77</v>
      </c>
      <c r="B66" s="6" t="str">
        <f t="shared" si="1"/>
        <v>NSE:ABFRL</v>
      </c>
      <c r="C66" s="7">
        <f>IFERROR(__xludf.DUMMYFUNCTION("GOOGLEFINANCE(B66,""price"")"),303.05)</f>
        <v>303.05</v>
      </c>
      <c r="D66" s="8">
        <f>IFERROR(__xludf.DUMMYFUNCTION("GOOGLEFINANCE(B66,""Volume"")"),2199223.0)</f>
        <v>2199223</v>
      </c>
      <c r="E66" s="7">
        <v>20.0</v>
      </c>
      <c r="F66" s="9" t="str">
        <f>IFERROR(__xludf.DUMMYFUNCTION("IF(D66&gt;AVERAGE(INDEX(GOOGLEFINANCE(B66,""volume"",WORKDAY(TODAY(),-$E$2),TODAY()),,2)),""Breakout"","""")"),"")</f>
        <v/>
      </c>
      <c r="G66" s="8">
        <f>IFERROR(__xludf.DUMMYFUNCTION("AVERAGE(QUERY(SORT(GOOGLEFINANCE(B66,""price"",TODAY()-365,TODAY()),1,0),""select Col2 limit 10""))"),311.305)</f>
        <v>311.305</v>
      </c>
      <c r="H66" s="10">
        <f>IFERROR(__xludf.DUMMYFUNCTION("AVERAGE(QUERY(SORT(GOOGLEFINANCE(B66,""price"",TODAY()-365,TODAY()),1,0),""select Col2 limit 30""))"),331.03666666666663)</f>
        <v>331.0366667</v>
      </c>
      <c r="I66" s="10">
        <f>IFERROR(__xludf.DUMMYFUNCTION("AVERAGE(QUERY(SORT(GOOGLEFINANCE(B66,""price"",TODAY()-365,TODAY()),1,0),""select Col2 limit 60""))"),325.08416666666653)</f>
        <v>325.0841667</v>
      </c>
      <c r="J66" s="10">
        <f>IFERROR(__xludf.DUMMYFUNCTION("AVERAGE(QUERY(SORT(GOOGLEFINANCE(B66,""price"",TODAY()-365,TODAY()),1,0),""select Col2 limit 90""))"),325.26944444444445)</f>
        <v>325.2694444</v>
      </c>
      <c r="K66" s="10">
        <f>IFERROR(__xludf.DUMMYFUNCTION("AVERAGE(QUERY(SORT(GOOGLEFINANCE(B66,""price"",TODAY()-365,TODAY()),1,0),""select Col2 limit 120""))"),318.0262500000002)</f>
        <v>318.02625</v>
      </c>
      <c r="L66" s="10">
        <f>IFERROR(__xludf.DUMMYFUNCTION("AVERAGE(QUERY(SORT(GOOGLEFINANCE(B66,""price"",TODAY()-365,TODAY()),1,0),""select Col2 limit 200""))"),284.38825000000014)</f>
        <v>284.38825</v>
      </c>
      <c r="M66" s="11" t="str">
        <f t="shared" si="2"/>
        <v>Best for Sell Below 200 DMA</v>
      </c>
    </row>
    <row r="67">
      <c r="A67" s="5" t="s">
        <v>78</v>
      </c>
      <c r="B67" s="6" t="str">
        <f t="shared" si="1"/>
        <v>NSE:ONGC</v>
      </c>
      <c r="C67" s="7">
        <f>IFERROR(__xludf.DUMMYFUNCTION("GOOGLEFINANCE(B67,""price"")"),263.2)</f>
        <v>263.2</v>
      </c>
      <c r="D67" s="8">
        <f>IFERROR(__xludf.DUMMYFUNCTION("GOOGLEFINANCE(B67,""Volume"")"),5752893.0)</f>
        <v>5752893</v>
      </c>
      <c r="E67" s="7">
        <v>20.0</v>
      </c>
      <c r="F67" s="9" t="str">
        <f>IFERROR(__xludf.DUMMYFUNCTION("IF(D67&gt;AVERAGE(INDEX(GOOGLEFINANCE(B67,""volume"",WORKDAY(TODAY(),-$E$2),TODAY()),,2)),""Breakout"","""")"),"")</f>
        <v/>
      </c>
      <c r="G67" s="8">
        <f>IFERROR(__xludf.DUMMYFUNCTION("AVERAGE(QUERY(SORT(GOOGLEFINANCE(B67,""price"",TODAY()-365,TODAY()),1,0),""select Col2 limit 10""))"),269.08500000000004)</f>
        <v>269.085</v>
      </c>
      <c r="H67" s="10">
        <f>IFERROR(__xludf.DUMMYFUNCTION("AVERAGE(QUERY(SORT(GOOGLEFINANCE(B67,""price"",TODAY()-365,TODAY()),1,0),""select Col2 limit 30""))"),283.83666666666664)</f>
        <v>283.8366667</v>
      </c>
      <c r="I67" s="10">
        <f>IFERROR(__xludf.DUMMYFUNCTION("AVERAGE(QUERY(SORT(GOOGLEFINANCE(B67,""price"",TODAY()-365,TODAY()),1,0),""select Col2 limit 60""))"),300.6908333333333)</f>
        <v>300.6908333</v>
      </c>
      <c r="J67" s="10">
        <f>IFERROR(__xludf.DUMMYFUNCTION("AVERAGE(QUERY(SORT(GOOGLEFINANCE(B67,""price"",TODAY()-365,TODAY()),1,0),""select Col2 limit 90""))"),302.42055555555555)</f>
        <v>302.4205556</v>
      </c>
      <c r="K67" s="10">
        <f>IFERROR(__xludf.DUMMYFUNCTION("AVERAGE(QUERY(SORT(GOOGLEFINANCE(B67,""price"",TODAY()-365,TODAY()),1,0),""select Col2 limit 120""))"),294.46333333333325)</f>
        <v>294.4633333</v>
      </c>
      <c r="L67" s="10">
        <f>IFERROR(__xludf.DUMMYFUNCTION("AVERAGE(QUERY(SORT(GOOGLEFINANCE(B67,""price"",TODAY()-365,TODAY()),1,0),""select Col2 limit 200""))"),282.2714999999999)</f>
        <v>282.2715</v>
      </c>
      <c r="M67" s="11" t="str">
        <f t="shared" si="2"/>
        <v>Avoid</v>
      </c>
    </row>
    <row r="68">
      <c r="A68" s="5" t="s">
        <v>79</v>
      </c>
      <c r="B68" s="6" t="str">
        <f t="shared" si="1"/>
        <v>NSE:BATAINDIA</v>
      </c>
      <c r="C68" s="7">
        <f>IFERROR(__xludf.DUMMYFUNCTION("GOOGLEFINANCE(B68,""price"")"),1355.9)</f>
        <v>1355.9</v>
      </c>
      <c r="D68" s="8">
        <f>IFERROR(__xludf.DUMMYFUNCTION("GOOGLEFINANCE(B68,""Volume"")"),131714.0)</f>
        <v>131714</v>
      </c>
      <c r="E68" s="7">
        <v>20.0</v>
      </c>
      <c r="F68" s="9" t="str">
        <f>IFERROR(__xludf.DUMMYFUNCTION("IF(D68&gt;AVERAGE(INDEX(GOOGLEFINANCE(B68,""volume"",WORKDAY(TODAY(),-$E$2),TODAY()),,2)),""Breakout"","""")"),"")</f>
        <v/>
      </c>
      <c r="G68" s="8">
        <f>IFERROR(__xludf.DUMMYFUNCTION("AVERAGE(QUERY(SORT(GOOGLEFINANCE(B68,""price"",TODAY()-365,TODAY()),1,0),""select Col2 limit 10""))"),1388.9)</f>
        <v>1388.9</v>
      </c>
      <c r="H68" s="10">
        <f>IFERROR(__xludf.DUMMYFUNCTION("AVERAGE(QUERY(SORT(GOOGLEFINANCE(B68,""price"",TODAY()-365,TODAY()),1,0),""select Col2 limit 30""))"),1406.1333333333337)</f>
        <v>1406.133333</v>
      </c>
      <c r="I68" s="10">
        <f>IFERROR(__xludf.DUMMYFUNCTION("AVERAGE(QUERY(SORT(GOOGLEFINANCE(B68,""price"",TODAY()-365,TODAY()),1,0),""select Col2 limit 60""))"),1421.2816666666668)</f>
        <v>1421.281667</v>
      </c>
      <c r="J68" s="10">
        <f>IFERROR(__xludf.DUMMYFUNCTION("AVERAGE(QUERY(SORT(GOOGLEFINANCE(B68,""price"",TODAY()-365,TODAY()),1,0),""select Col2 limit 90""))"),1460.3444444444444)</f>
        <v>1460.344444</v>
      </c>
      <c r="K68" s="10">
        <f>IFERROR(__xludf.DUMMYFUNCTION("AVERAGE(QUERY(SORT(GOOGLEFINANCE(B68,""price"",TODAY()-365,TODAY()),1,0),""select Col2 limit 120""))"),1444.4791666666679)</f>
        <v>1444.479167</v>
      </c>
      <c r="L68" s="10">
        <f>IFERROR(__xludf.DUMMYFUNCTION("AVERAGE(QUERY(SORT(GOOGLEFINANCE(B68,""price"",TODAY()-365,TODAY()),1,0),""select Col2 limit 200""))"),1433.019000000001)</f>
        <v>1433.019</v>
      </c>
      <c r="M68" s="11" t="str">
        <f t="shared" si="2"/>
        <v>Avoid</v>
      </c>
    </row>
    <row r="69">
      <c r="A69" s="5" t="s">
        <v>80</v>
      </c>
      <c r="B69" s="6" t="str">
        <f t="shared" si="1"/>
        <v>NSE:CANBK</v>
      </c>
      <c r="C69" s="7">
        <f>IFERROR(__xludf.DUMMYFUNCTION("GOOGLEFINANCE(B69,""price"")"),100.35)</f>
        <v>100.35</v>
      </c>
      <c r="D69" s="8">
        <f>IFERROR(__xludf.DUMMYFUNCTION("GOOGLEFINANCE(B69,""Volume"")"),1.5267228E7)</f>
        <v>15267228</v>
      </c>
      <c r="E69" s="7">
        <v>20.0</v>
      </c>
      <c r="F69" s="9" t="str">
        <f>IFERROR(__xludf.DUMMYFUNCTION("IF(D69&gt;AVERAGE(INDEX(GOOGLEFINANCE(B69,""volume"",WORKDAY(TODAY(),-$E$2),TODAY()),,2)),""Breakout"","""")"),"")</f>
        <v/>
      </c>
      <c r="G69" s="8">
        <f>IFERROR(__xludf.DUMMYFUNCTION("AVERAGE(QUERY(SORT(GOOGLEFINANCE(B69,""price"",TODAY()-365,TODAY()),1,0),""select Col2 limit 10""))"),100.48999999999998)</f>
        <v>100.49</v>
      </c>
      <c r="H69" s="10">
        <f>IFERROR(__xludf.DUMMYFUNCTION("AVERAGE(QUERY(SORT(GOOGLEFINANCE(B69,""price"",TODAY()-365,TODAY()),1,0),""select Col2 limit 30""))"),104.635)</f>
        <v>104.635</v>
      </c>
      <c r="I69" s="10">
        <f>IFERROR(__xludf.DUMMYFUNCTION("AVERAGE(QUERY(SORT(GOOGLEFINANCE(B69,""price"",TODAY()-365,TODAY()),1,0),""select Col2 limit 60""))"),106.46683333333331)</f>
        <v>106.4668333</v>
      </c>
      <c r="J69" s="10">
        <f>IFERROR(__xludf.DUMMYFUNCTION("AVERAGE(QUERY(SORT(GOOGLEFINANCE(B69,""price"",TODAY()-365,TODAY()),1,0),""select Col2 limit 90""))"),109.21311111111108)</f>
        <v>109.2131111</v>
      </c>
      <c r="K69" s="10">
        <f>IFERROR(__xludf.DUMMYFUNCTION("AVERAGE(QUERY(SORT(GOOGLEFINANCE(B69,""price"",TODAY()-365,TODAY()),1,0),""select Col2 limit 120""))"),111.31458333333333)</f>
        <v>111.3145833</v>
      </c>
      <c r="L69" s="10">
        <f>IFERROR(__xludf.DUMMYFUNCTION("AVERAGE(QUERY(SORT(GOOGLEFINANCE(B69,""price"",TODAY()-365,TODAY()),1,0),""select Col2 limit 200""))"),111.30035000000007)</f>
        <v>111.30035</v>
      </c>
      <c r="M69" s="11" t="str">
        <f t="shared" si="2"/>
        <v>Avoid</v>
      </c>
    </row>
    <row r="70">
      <c r="A70" s="5" t="s">
        <v>81</v>
      </c>
      <c r="B70" s="6" t="str">
        <f t="shared" si="1"/>
        <v>NSE:ASIANPAINT</v>
      </c>
      <c r="C70" s="7">
        <f>IFERROR(__xludf.DUMMYFUNCTION("GOOGLEFINANCE(B70,""price"")"),2921.45)</f>
        <v>2921.45</v>
      </c>
      <c r="D70" s="8">
        <f>IFERROR(__xludf.DUMMYFUNCTION("GOOGLEFINANCE(B70,""Volume"")"),553934.0)</f>
        <v>553934</v>
      </c>
      <c r="E70" s="7">
        <v>20.0</v>
      </c>
      <c r="F70" s="9" t="str">
        <f>IFERROR(__xludf.DUMMYFUNCTION("IF(D70&gt;AVERAGE(INDEX(GOOGLEFINANCE(B70,""volume"",WORKDAY(TODAY(),-$E$2),TODAY()),,2)),""Breakout"","""")"),"")</f>
        <v/>
      </c>
      <c r="G70" s="8">
        <f>IFERROR(__xludf.DUMMYFUNCTION("AVERAGE(QUERY(SORT(GOOGLEFINANCE(B70,""price"",TODAY()-365,TODAY()),1,0),""select Col2 limit 10""))"),2989.4900000000002)</f>
        <v>2989.49</v>
      </c>
      <c r="H70" s="10">
        <f>IFERROR(__xludf.DUMMYFUNCTION("AVERAGE(QUERY(SORT(GOOGLEFINANCE(B70,""price"",TODAY()-365,TODAY()),1,0),""select Col2 limit 30""))"),3108.4)</f>
        <v>3108.4</v>
      </c>
      <c r="I70" s="10">
        <f>IFERROR(__xludf.DUMMYFUNCTION("AVERAGE(QUERY(SORT(GOOGLEFINANCE(B70,""price"",TODAY()-365,TODAY()),1,0),""select Col2 limit 60""))"),3143.0900000000006)</f>
        <v>3143.09</v>
      </c>
      <c r="J70" s="10">
        <f>IFERROR(__xludf.DUMMYFUNCTION("AVERAGE(QUERY(SORT(GOOGLEFINANCE(B70,""price"",TODAY()-365,TODAY()),1,0),""select Col2 limit 90""))"),3082.503888888888)</f>
        <v>3082.503889</v>
      </c>
      <c r="K70" s="10">
        <f>IFERROR(__xludf.DUMMYFUNCTION("AVERAGE(QUERY(SORT(GOOGLEFINANCE(B70,""price"",TODAY()-365,TODAY()),1,0),""select Col2 limit 120""))"),3032.938333333333)</f>
        <v>3032.938333</v>
      </c>
      <c r="L70" s="10">
        <f>IFERROR(__xludf.DUMMYFUNCTION("AVERAGE(QUERY(SORT(GOOGLEFINANCE(B70,""price"",TODAY()-365,TODAY()),1,0),""select Col2 limit 200""))"),2993.5585000000005)</f>
        <v>2993.5585</v>
      </c>
      <c r="M70" s="11" t="str">
        <f t="shared" si="2"/>
        <v>Avoid</v>
      </c>
    </row>
    <row r="71">
      <c r="A71" s="5" t="s">
        <v>82</v>
      </c>
      <c r="B71" s="6" t="str">
        <f t="shared" si="1"/>
        <v>NSE:TATAPOWER</v>
      </c>
      <c r="C71" s="7">
        <f>IFERROR(__xludf.DUMMYFUNCTION("GOOGLEFINANCE(B71,""price"")"),430.05)</f>
        <v>430.05</v>
      </c>
      <c r="D71" s="8">
        <f>IFERROR(__xludf.DUMMYFUNCTION("GOOGLEFINANCE(B71,""Volume"")"),7368229.0)</f>
        <v>7368229</v>
      </c>
      <c r="E71" s="7">
        <v>20.0</v>
      </c>
      <c r="F71" s="9" t="str">
        <f>IFERROR(__xludf.DUMMYFUNCTION("IF(D71&gt;AVERAGE(INDEX(GOOGLEFINANCE(B71,""volume"",WORKDAY(TODAY(),-$E$2),TODAY()),,2)),""Breakout"","""")"),"")</f>
        <v/>
      </c>
      <c r="G71" s="8">
        <f>IFERROR(__xludf.DUMMYFUNCTION("AVERAGE(QUERY(SORT(GOOGLEFINANCE(B71,""price"",TODAY()-365,TODAY()),1,0),""select Col2 limit 10""))"),435.91499999999996)</f>
        <v>435.915</v>
      </c>
      <c r="H71" s="10">
        <f>IFERROR(__xludf.DUMMYFUNCTION("AVERAGE(QUERY(SORT(GOOGLEFINANCE(B71,""price"",TODAY()-365,TODAY()),1,0),""select Col2 limit 30""))"),454.0116666666666)</f>
        <v>454.0116667</v>
      </c>
      <c r="I71" s="10">
        <f>IFERROR(__xludf.DUMMYFUNCTION("AVERAGE(QUERY(SORT(GOOGLEFINANCE(B71,""price"",TODAY()-365,TODAY()),1,0),""select Col2 limit 60""))"),440.3583333333335)</f>
        <v>440.3583333</v>
      </c>
      <c r="J71" s="10">
        <f>IFERROR(__xludf.DUMMYFUNCTION("AVERAGE(QUERY(SORT(GOOGLEFINANCE(B71,""price"",TODAY()-365,TODAY()),1,0),""select Col2 limit 90""))"),439.02166666666665)</f>
        <v>439.0216667</v>
      </c>
      <c r="K71" s="10">
        <f>IFERROR(__xludf.DUMMYFUNCTION("AVERAGE(QUERY(SORT(GOOGLEFINANCE(B71,""price"",TODAY()-365,TODAY()),1,0),""select Col2 limit 120""))"),438.72291666666666)</f>
        <v>438.7229167</v>
      </c>
      <c r="L71" s="10">
        <f>IFERROR(__xludf.DUMMYFUNCTION("AVERAGE(QUERY(SORT(GOOGLEFINANCE(B71,""price"",TODAY()-365,TODAY()),1,0),""select Col2 limit 200""))"),420.9097499999997)</f>
        <v>420.90975</v>
      </c>
      <c r="M71" s="11" t="str">
        <f t="shared" si="2"/>
        <v>Best for Sell Below 200 DMA</v>
      </c>
    </row>
    <row r="72">
      <c r="A72" s="5" t="s">
        <v>83</v>
      </c>
      <c r="B72" s="6" t="str">
        <f t="shared" si="1"/>
        <v>NSE:POLICYBZR</v>
      </c>
      <c r="C72" s="7">
        <f>IFERROR(__xludf.DUMMYFUNCTION("GOOGLEFINANCE(B72,""price"")"),1700.15)</f>
        <v>1700.15</v>
      </c>
      <c r="D72" s="8">
        <f>IFERROR(__xludf.DUMMYFUNCTION("GOOGLEFINANCE(B72,""Volume"")"),350401.0)</f>
        <v>350401</v>
      </c>
      <c r="E72" s="7">
        <v>20.0</v>
      </c>
      <c r="F72" s="9" t="str">
        <f>IFERROR(__xludf.DUMMYFUNCTION("IF(D72&gt;AVERAGE(INDEX(GOOGLEFINANCE(B72,""volume"",WORKDAY(TODAY(),-$E$2),TODAY()),,2)),""Breakout"","""")"),"")</f>
        <v/>
      </c>
      <c r="G72" s="8">
        <f>IFERROR(__xludf.DUMMYFUNCTION("AVERAGE(QUERY(SORT(GOOGLEFINANCE(B72,""price"",TODAY()-365,TODAY()),1,0),""select Col2 limit 10""))"),1667.9649999999997)</f>
        <v>1667.965</v>
      </c>
      <c r="H72" s="10">
        <f>IFERROR(__xludf.DUMMYFUNCTION("AVERAGE(QUERY(SORT(GOOGLEFINANCE(B72,""price"",TODAY()-365,TODAY()),1,0),""select Col2 limit 30""))"),1702.1383333333333)</f>
        <v>1702.138333</v>
      </c>
      <c r="I72" s="10">
        <f>IFERROR(__xludf.DUMMYFUNCTION("AVERAGE(QUERY(SORT(GOOGLEFINANCE(B72,""price"",TODAY()-365,TODAY()),1,0),""select Col2 limit 60""))"),1698.1108333333332)</f>
        <v>1698.110833</v>
      </c>
      <c r="J72" s="10">
        <f>IFERROR(__xludf.DUMMYFUNCTION("AVERAGE(QUERY(SORT(GOOGLEFINANCE(B72,""price"",TODAY()-365,TODAY()),1,0),""select Col2 limit 90""))"),1613.012777777778)</f>
        <v>1613.012778</v>
      </c>
      <c r="K72" s="10">
        <f>IFERROR(__xludf.DUMMYFUNCTION("AVERAGE(QUERY(SORT(GOOGLEFINANCE(B72,""price"",TODAY()-365,TODAY()),1,0),""select Col2 limit 120""))"),1530.9433333333334)</f>
        <v>1530.943333</v>
      </c>
      <c r="L72" s="10">
        <f>IFERROR(__xludf.DUMMYFUNCTION("AVERAGE(QUERY(SORT(GOOGLEFINANCE(B72,""price"",TODAY()-365,TODAY()),1,0),""select Col2 limit 200""))"),1349.3387500000008)</f>
        <v>1349.33875</v>
      </c>
      <c r="M72" s="11" t="str">
        <f t="shared" si="2"/>
        <v>Avoid</v>
      </c>
    </row>
    <row r="73">
      <c r="A73" s="5" t="s">
        <v>84</v>
      </c>
      <c r="B73" s="6" t="str">
        <f t="shared" si="1"/>
        <v>NSE:BHEL</v>
      </c>
      <c r="C73" s="7">
        <f>IFERROR(__xludf.DUMMYFUNCTION("GOOGLEFINANCE(B73,""price"")"),233.71)</f>
        <v>233.71</v>
      </c>
      <c r="D73" s="8">
        <f>IFERROR(__xludf.DUMMYFUNCTION("GOOGLEFINANCE(B73,""Volume"")"),9969403.0)</f>
        <v>9969403</v>
      </c>
      <c r="E73" s="7">
        <v>20.0</v>
      </c>
      <c r="F73" s="9" t="str">
        <f>IFERROR(__xludf.DUMMYFUNCTION("IF(D73&gt;AVERAGE(INDEX(GOOGLEFINANCE(B73,""volume"",WORKDAY(TODAY(),-$E$2),TODAY()),,2)),""Breakout"","""")"),"")</f>
        <v/>
      </c>
      <c r="G73" s="8">
        <f>IFERROR(__xludf.DUMMYFUNCTION("AVERAGE(QUERY(SORT(GOOGLEFINANCE(B73,""price"",TODAY()-365,TODAY()),1,0),""select Col2 limit 10""))"),234.25)</f>
        <v>234.25</v>
      </c>
      <c r="H73" s="10">
        <f>IFERROR(__xludf.DUMMYFUNCTION("AVERAGE(QUERY(SORT(GOOGLEFINANCE(B73,""price"",TODAY()-365,TODAY()),1,0),""select Col2 limit 30""))"),258.70833333333326)</f>
        <v>258.7083333</v>
      </c>
      <c r="I73" s="10">
        <f>IFERROR(__xludf.DUMMYFUNCTION("AVERAGE(QUERY(SORT(GOOGLEFINANCE(B73,""price"",TODAY()-365,TODAY()),1,0),""select Col2 limit 60""))"),271.6574999999999)</f>
        <v>271.6575</v>
      </c>
      <c r="J73" s="10">
        <f>IFERROR(__xludf.DUMMYFUNCTION("AVERAGE(QUERY(SORT(GOOGLEFINANCE(B73,""price"",TODAY()-365,TODAY()),1,0),""select Col2 limit 90""))"),284.5888888888889)</f>
        <v>284.5888889</v>
      </c>
      <c r="K73" s="10">
        <f>IFERROR(__xludf.DUMMYFUNCTION("AVERAGE(QUERY(SORT(GOOGLEFINANCE(B73,""price"",TODAY()-365,TODAY()),1,0),""select Col2 limit 120""))"),286.64458333333346)</f>
        <v>286.6445833</v>
      </c>
      <c r="L73" s="10">
        <f>IFERROR(__xludf.DUMMYFUNCTION("AVERAGE(QUERY(SORT(GOOGLEFINANCE(B73,""price"",TODAY()-365,TODAY()),1,0),""select Col2 limit 200""))"),267.8490000000001)</f>
        <v>267.849</v>
      </c>
      <c r="M73" s="11" t="str">
        <f t="shared" si="2"/>
        <v>Avoid</v>
      </c>
    </row>
    <row r="74">
      <c r="A74" s="5" t="s">
        <v>85</v>
      </c>
      <c r="B74" s="6" t="str">
        <f t="shared" si="1"/>
        <v>NSE:APOLLOHOSP</v>
      </c>
      <c r="C74" s="7">
        <f>IFERROR(__xludf.DUMMYFUNCTION("GOOGLEFINANCE(B74,""price"")"),6953.35)</f>
        <v>6953.35</v>
      </c>
      <c r="D74" s="8">
        <f>IFERROR(__xludf.DUMMYFUNCTION("GOOGLEFINANCE(B74,""Volume"")"),162443.0)</f>
        <v>162443</v>
      </c>
      <c r="E74" s="7">
        <v>20.0</v>
      </c>
      <c r="F74" s="9" t="str">
        <f>IFERROR(__xludf.DUMMYFUNCTION("IF(D74&gt;AVERAGE(INDEX(GOOGLEFINANCE(B74,""volume"",WORKDAY(TODAY(),-$E$2),TODAY()),,2)),""Breakout"","""")"),"")</f>
        <v/>
      </c>
      <c r="G74" s="8">
        <f>IFERROR(__xludf.DUMMYFUNCTION("AVERAGE(QUERY(SORT(GOOGLEFINANCE(B74,""price"",TODAY()-365,TODAY()),1,0),""select Col2 limit 10""))"),6958.594999999999)</f>
        <v>6958.595</v>
      </c>
      <c r="H74" s="10">
        <f>IFERROR(__xludf.DUMMYFUNCTION("AVERAGE(QUERY(SORT(GOOGLEFINANCE(B74,""price"",TODAY()-365,TODAY()),1,0),""select Col2 limit 30""))"),7015.971666666667)</f>
        <v>7015.971667</v>
      </c>
      <c r="I74" s="10">
        <f>IFERROR(__xludf.DUMMYFUNCTION("AVERAGE(QUERY(SORT(GOOGLEFINANCE(B74,""price"",TODAY()-365,TODAY()),1,0),""select Col2 limit 60""))"),6915.392500000001)</f>
        <v>6915.3925</v>
      </c>
      <c r="J74" s="10">
        <f>IFERROR(__xludf.DUMMYFUNCTION("AVERAGE(QUERY(SORT(GOOGLEFINANCE(B74,""price"",TODAY()-365,TODAY()),1,0),""select Col2 limit 90""))"),6747.188333333334)</f>
        <v>6747.188333</v>
      </c>
      <c r="K74" s="10">
        <f>IFERROR(__xludf.DUMMYFUNCTION("AVERAGE(QUERY(SORT(GOOGLEFINANCE(B74,""price"",TODAY()-365,TODAY()),1,0),""select Col2 limit 120""))"),6557.83375)</f>
        <v>6557.83375</v>
      </c>
      <c r="L74" s="10">
        <f>IFERROR(__xludf.DUMMYFUNCTION("AVERAGE(QUERY(SORT(GOOGLEFINANCE(B74,""price"",TODAY()-365,TODAY()),1,0),""select Col2 limit 200""))"),6428.387000000001)</f>
        <v>6428.387</v>
      </c>
      <c r="M74" s="11" t="str">
        <f t="shared" si="2"/>
        <v>Avoid</v>
      </c>
    </row>
    <row r="75">
      <c r="A75" s="5" t="s">
        <v>86</v>
      </c>
      <c r="B75" s="6" t="str">
        <f t="shared" si="1"/>
        <v>NSE:COALINDIA</v>
      </c>
      <c r="C75" s="7">
        <f>IFERROR(__xludf.DUMMYFUNCTION("GOOGLEFINANCE(B75,""price"")"),439.95)</f>
        <v>439.95</v>
      </c>
      <c r="D75" s="8">
        <f>IFERROR(__xludf.DUMMYFUNCTION("GOOGLEFINANCE(B75,""Volume"")"),9620550.0)</f>
        <v>9620550</v>
      </c>
      <c r="E75" s="7">
        <v>20.0</v>
      </c>
      <c r="F75" s="9" t="str">
        <f>IFERROR(__xludf.DUMMYFUNCTION("IF(D75&gt;AVERAGE(INDEX(GOOGLEFINANCE(B75,""volume"",WORKDAY(TODAY(),-$E$2),TODAY()),,2)),""Breakout"","""")"),"Breakout")</f>
        <v>Breakout</v>
      </c>
      <c r="G75" s="8">
        <f>IFERROR(__xludf.DUMMYFUNCTION("AVERAGE(QUERY(SORT(GOOGLEFINANCE(B75,""price"",TODAY()-365,TODAY()),1,0),""select Col2 limit 10""))"),464.67999999999995)</f>
        <v>464.68</v>
      </c>
      <c r="H75" s="10">
        <f>IFERROR(__xludf.DUMMYFUNCTION("AVERAGE(QUERY(SORT(GOOGLEFINANCE(B75,""price"",TODAY()-365,TODAY()),1,0),""select Col2 limit 30""))"),486.1816666666667)</f>
        <v>486.1816667</v>
      </c>
      <c r="I75" s="10">
        <f>IFERROR(__xludf.DUMMYFUNCTION("AVERAGE(QUERY(SORT(GOOGLEFINANCE(B75,""price"",TODAY()-365,TODAY()),1,0),""select Col2 limit 60""))"),499.5275)</f>
        <v>499.5275</v>
      </c>
      <c r="J75" s="10">
        <f>IFERROR(__xludf.DUMMYFUNCTION("AVERAGE(QUERY(SORT(GOOGLEFINANCE(B75,""price"",TODAY()-365,TODAY()),1,0),""select Col2 limit 90""))"),498.31277777777785)</f>
        <v>498.3127778</v>
      </c>
      <c r="K75" s="10">
        <f>IFERROR(__xludf.DUMMYFUNCTION("AVERAGE(QUERY(SORT(GOOGLEFINANCE(B75,""price"",TODAY()-365,TODAY()),1,0),""select Col2 limit 120""))"),493.48124999999993)</f>
        <v>493.48125</v>
      </c>
      <c r="L75" s="10">
        <f>IFERROR(__xludf.DUMMYFUNCTION("AVERAGE(QUERY(SORT(GOOGLEFINANCE(B75,""price"",TODAY()-365,TODAY()),1,0),""select Col2 limit 200""))"),469.48099999999994)</f>
        <v>469.481</v>
      </c>
      <c r="M75" s="11" t="str">
        <f t="shared" si="2"/>
        <v>Avoid</v>
      </c>
    </row>
    <row r="76">
      <c r="A76" s="5" t="s">
        <v>87</v>
      </c>
      <c r="B76" s="6" t="str">
        <f t="shared" si="1"/>
        <v>NSE:JSWENERGY</v>
      </c>
      <c r="C76" s="7">
        <f>IFERROR(__xludf.DUMMYFUNCTION("GOOGLEFINANCE(B76,""price"")"),676.1)</f>
        <v>676.1</v>
      </c>
      <c r="D76" s="8">
        <f>IFERROR(__xludf.DUMMYFUNCTION("GOOGLEFINANCE(B76,""Volume"")"),600465.0)</f>
        <v>600465</v>
      </c>
      <c r="E76" s="7">
        <v>20.0</v>
      </c>
      <c r="F76" s="9" t="str">
        <f>IFERROR(__xludf.DUMMYFUNCTION("IF(D76&gt;AVERAGE(INDEX(GOOGLEFINANCE(B76,""volume"",WORKDAY(TODAY(),-$E$2),TODAY()),,2)),""Breakout"","""")"),"")</f>
        <v/>
      </c>
      <c r="G76" s="8">
        <f>IFERROR(__xludf.DUMMYFUNCTION("AVERAGE(QUERY(SORT(GOOGLEFINANCE(B76,""price"",TODAY()-365,TODAY()),1,0),""select Col2 limit 10""))"),673.9000000000001)</f>
        <v>673.9</v>
      </c>
      <c r="H76" s="10">
        <f>IFERROR(__xludf.DUMMYFUNCTION("AVERAGE(QUERY(SORT(GOOGLEFINANCE(B76,""price"",TODAY()-365,TODAY()),1,0),""select Col2 limit 30""))"),711.1450000000001)</f>
        <v>711.145</v>
      </c>
      <c r="I76" s="10">
        <f>IFERROR(__xludf.DUMMYFUNCTION("AVERAGE(QUERY(SORT(GOOGLEFINANCE(B76,""price"",TODAY()-365,TODAY()),1,0),""select Col2 limit 60""))"),712.7633333333334)</f>
        <v>712.7633333</v>
      </c>
      <c r="J76" s="10">
        <f>IFERROR(__xludf.DUMMYFUNCTION("AVERAGE(QUERY(SORT(GOOGLEFINANCE(B76,""price"",TODAY()-365,TODAY()),1,0),""select Col2 limit 90""))"),713.4450000000002)</f>
        <v>713.445</v>
      </c>
      <c r="K76" s="10">
        <f>IFERROR(__xludf.DUMMYFUNCTION("AVERAGE(QUERY(SORT(GOOGLEFINANCE(B76,""price"",TODAY()-365,TODAY()),1,0),""select Col2 limit 120""))"),692.8974999999997)</f>
        <v>692.8975</v>
      </c>
      <c r="L76" s="10">
        <f>IFERROR(__xludf.DUMMYFUNCTION("AVERAGE(QUERY(SORT(GOOGLEFINANCE(B76,""price"",TODAY()-365,TODAY()),1,0),""select Col2 limit 200""))"),626.8172499999996)</f>
        <v>626.81725</v>
      </c>
      <c r="M76" s="11" t="str">
        <f t="shared" si="2"/>
        <v>Avoid</v>
      </c>
    </row>
    <row r="77">
      <c r="A77" s="5" t="s">
        <v>88</v>
      </c>
      <c r="B77" s="6" t="str">
        <f t="shared" si="1"/>
        <v>NSE:TITAGARH</v>
      </c>
      <c r="C77" s="7">
        <f>IFERROR(__xludf.DUMMYFUNCTION("GOOGLEFINANCE(B77,""price"")"),1205.55)</f>
        <v>1205.55</v>
      </c>
      <c r="D77" s="8">
        <f>IFERROR(__xludf.DUMMYFUNCTION("GOOGLEFINANCE(B77,""Volume"")"),578461.0)</f>
        <v>578461</v>
      </c>
      <c r="E77" s="7">
        <v>20.0</v>
      </c>
      <c r="F77" s="9" t="str">
        <f>IFERROR(__xludf.DUMMYFUNCTION("IF(D77&gt;AVERAGE(INDEX(GOOGLEFINANCE(B77,""volume"",WORKDAY(TODAY(),-$E$2),TODAY()),,2)),""Breakout"","""")"),"")</f>
        <v/>
      </c>
      <c r="G77" s="8">
        <f>IFERROR(__xludf.DUMMYFUNCTION("AVERAGE(QUERY(SORT(GOOGLEFINANCE(B77,""price"",TODAY()-365,TODAY()),1,0),""select Col2 limit 10""))"),1164.0049999999999)</f>
        <v>1164.005</v>
      </c>
      <c r="H77" s="10">
        <f>IFERROR(__xludf.DUMMYFUNCTION("AVERAGE(QUERY(SORT(GOOGLEFINANCE(B77,""price"",TODAY()-365,TODAY()),1,0),""select Col2 limit 30""))"),1175.4566666666665)</f>
        <v>1175.456667</v>
      </c>
      <c r="I77" s="10">
        <f>IFERROR(__xludf.DUMMYFUNCTION("AVERAGE(QUERY(SORT(GOOGLEFINANCE(B77,""price"",TODAY()-365,TODAY()),1,0),""select Col2 limit 60""))"),1288.0925000000002)</f>
        <v>1288.0925</v>
      </c>
      <c r="J77" s="10">
        <f>IFERROR(__xludf.DUMMYFUNCTION("AVERAGE(QUERY(SORT(GOOGLEFINANCE(B77,""price"",TODAY()-365,TODAY()),1,0),""select Col2 limit 90""))"),1419.1100000000004)</f>
        <v>1419.11</v>
      </c>
      <c r="K77" s="10">
        <f>IFERROR(__xludf.DUMMYFUNCTION("AVERAGE(QUERY(SORT(GOOGLEFINANCE(B77,""price"",TODAY()-365,TODAY()),1,0),""select Col2 limit 120""))"),1392.2595833333332)</f>
        <v>1392.259583</v>
      </c>
      <c r="L77" s="10">
        <f>IFERROR(__xludf.DUMMYFUNCTION("AVERAGE(QUERY(SORT(GOOGLEFINANCE(B77,""price"",TODAY()-365,TODAY()),1,0),""select Col2 limit 200""))"),1230.0712499999997)</f>
        <v>1230.07125</v>
      </c>
      <c r="M77" s="11" t="str">
        <f t="shared" si="2"/>
        <v>Avoid</v>
      </c>
    </row>
    <row r="78">
      <c r="A78" s="5" t="s">
        <v>89</v>
      </c>
      <c r="B78" s="6" t="str">
        <f t="shared" si="1"/>
        <v>NSE:DRREDDY</v>
      </c>
      <c r="C78" s="7">
        <f>IFERROR(__xludf.DUMMYFUNCTION("GOOGLEFINANCE(B78,""price"")"),1265.85)</f>
        <v>1265.85</v>
      </c>
      <c r="D78" s="8">
        <f>IFERROR(__xludf.DUMMYFUNCTION("GOOGLEFINANCE(B78,""Volume"")"),998682.0)</f>
        <v>998682</v>
      </c>
      <c r="E78" s="7">
        <v>20.0</v>
      </c>
      <c r="F78" s="9" t="str">
        <f>IFERROR(__xludf.DUMMYFUNCTION("IF(D78&gt;AVERAGE(INDEX(GOOGLEFINANCE(B78,""volume"",WORKDAY(TODAY(),-$E$2),TODAY()),,2)),""Breakout"","""")"),"Breakout")</f>
        <v>Breakout</v>
      </c>
      <c r="G78" s="8">
        <f>IFERROR(__xludf.DUMMYFUNCTION("AVERAGE(QUERY(SORT(GOOGLEFINANCE(B78,""price"",TODAY()-365,TODAY()),1,0),""select Col2 limit 10""))"),1307.149)</f>
        <v>1307.149</v>
      </c>
      <c r="H78" s="10">
        <f>IFERROR(__xludf.DUMMYFUNCTION("AVERAGE(QUERY(SORT(GOOGLEFINANCE(B78,""price"",TODAY()-365,TODAY()),1,0),""select Col2 limit 30""))"),1323.806)</f>
        <v>1323.806</v>
      </c>
      <c r="I78" s="10">
        <f>IFERROR(__xludf.DUMMYFUNCTION("AVERAGE(QUERY(SORT(GOOGLEFINANCE(B78,""price"",TODAY()-365,TODAY()),1,0),""select Col2 limit 60""))"),1345.3180000000002)</f>
        <v>1345.318</v>
      </c>
      <c r="J78" s="10">
        <f>IFERROR(__xludf.DUMMYFUNCTION("AVERAGE(QUERY(SORT(GOOGLEFINANCE(B78,""price"",TODAY()-365,TODAY()),1,0),""select Col2 limit 90""))"),1338.563333333333)</f>
        <v>1338.563333</v>
      </c>
      <c r="K78" s="10">
        <f>IFERROR(__xludf.DUMMYFUNCTION("AVERAGE(QUERY(SORT(GOOGLEFINANCE(B78,""price"",TODAY()-365,TODAY()),1,0),""select Col2 limit 120""))"),1300.2647499999998)</f>
        <v>1300.26475</v>
      </c>
      <c r="L78" s="10">
        <f>IFERROR(__xludf.DUMMYFUNCTION("AVERAGE(QUERY(SORT(GOOGLEFINANCE(B78,""price"",TODAY()-365,TODAY()),1,0),""select Col2 limit 200""))"),1269.9489500000004)</f>
        <v>1269.94895</v>
      </c>
      <c r="M78" s="11" t="str">
        <f t="shared" si="2"/>
        <v>Avoid</v>
      </c>
    </row>
    <row r="79">
      <c r="A79" s="5" t="s">
        <v>90</v>
      </c>
      <c r="B79" s="6" t="str">
        <f t="shared" si="1"/>
        <v>NSE:INDUSTOWER</v>
      </c>
      <c r="C79" s="7">
        <f>IFERROR(__xludf.DUMMYFUNCTION("GOOGLEFINANCE(B79,""price"")"),341.1)</f>
        <v>341.1</v>
      </c>
      <c r="D79" s="8">
        <f>IFERROR(__xludf.DUMMYFUNCTION("GOOGLEFINANCE(B79,""Volume"")"),6981397.0)</f>
        <v>6981397</v>
      </c>
      <c r="E79" s="7">
        <v>20.0</v>
      </c>
      <c r="F79" s="9" t="str">
        <f>IFERROR(__xludf.DUMMYFUNCTION("IF(D79&gt;AVERAGE(INDEX(GOOGLEFINANCE(B79,""volume"",WORKDAY(TODAY(),-$E$2),TODAY()),,2)),""Breakout"","""")"),"")</f>
        <v/>
      </c>
      <c r="G79" s="8">
        <f>IFERROR(__xludf.DUMMYFUNCTION("AVERAGE(QUERY(SORT(GOOGLEFINANCE(B79,""price"",TODAY()-365,TODAY()),1,0),""select Col2 limit 10""))"),354.61499999999995)</f>
        <v>354.615</v>
      </c>
      <c r="H79" s="10">
        <f>IFERROR(__xludf.DUMMYFUNCTION("AVERAGE(QUERY(SORT(GOOGLEFINANCE(B79,""price"",TODAY()-365,TODAY()),1,0),""select Col2 limit 30""))"),374.69166666666655)</f>
        <v>374.6916667</v>
      </c>
      <c r="I79" s="10">
        <f>IFERROR(__xludf.DUMMYFUNCTION("AVERAGE(QUERY(SORT(GOOGLEFINANCE(B79,""price"",TODAY()-365,TODAY()),1,0),""select Col2 limit 60""))"),401.61666666666673)</f>
        <v>401.6166667</v>
      </c>
      <c r="J79" s="10">
        <f>IFERROR(__xludf.DUMMYFUNCTION("AVERAGE(QUERY(SORT(GOOGLEFINANCE(B79,""price"",TODAY()-365,TODAY()),1,0),""select Col2 limit 90""))"),402.5855555555557)</f>
        <v>402.5855556</v>
      </c>
      <c r="K79" s="10">
        <f>IFERROR(__xludf.DUMMYFUNCTION("AVERAGE(QUERY(SORT(GOOGLEFINANCE(B79,""price"",TODAY()-365,TODAY()),1,0),""select Col2 limit 120""))"),387.0429166666668)</f>
        <v>387.0429167</v>
      </c>
      <c r="L79" s="10">
        <f>IFERROR(__xludf.DUMMYFUNCTION("AVERAGE(QUERY(SORT(GOOGLEFINANCE(B79,""price"",TODAY()-365,TODAY()),1,0),""select Col2 limit 200""))"),339.36250000000007)</f>
        <v>339.3625</v>
      </c>
      <c r="M79" s="11" t="str">
        <f t="shared" si="2"/>
        <v>Best for Sell Below 200 DMA</v>
      </c>
    </row>
    <row r="80">
      <c r="A80" s="5" t="s">
        <v>91</v>
      </c>
      <c r="B80" s="6" t="str">
        <f t="shared" si="1"/>
        <v>NSE:JSWSTEEL</v>
      </c>
      <c r="C80" s="7">
        <f>IFERROR(__xludf.DUMMYFUNCTION("GOOGLEFINANCE(B80,""price"")"),949.8)</f>
        <v>949.8</v>
      </c>
      <c r="D80" s="8">
        <f>IFERROR(__xludf.DUMMYFUNCTION("GOOGLEFINANCE(B80,""Volume"")"),550624.0)</f>
        <v>550624</v>
      </c>
      <c r="E80" s="7">
        <v>20.0</v>
      </c>
      <c r="F80" s="9" t="str">
        <f>IFERROR(__xludf.DUMMYFUNCTION("IF(D80&gt;AVERAGE(INDEX(GOOGLEFINANCE(B80,""volume"",WORKDAY(TODAY(),-$E$2),TODAY()),,2)),""Breakout"","""")"),"")</f>
        <v/>
      </c>
      <c r="G80" s="8">
        <f>IFERROR(__xludf.DUMMYFUNCTION("AVERAGE(QUERY(SORT(GOOGLEFINANCE(B80,""price"",TODAY()-365,TODAY()),1,0),""select Col2 limit 10""))"),964.11)</f>
        <v>964.11</v>
      </c>
      <c r="H80" s="10">
        <f>IFERROR(__xludf.DUMMYFUNCTION("AVERAGE(QUERY(SORT(GOOGLEFINANCE(B80,""price"",TODAY()-365,TODAY()),1,0),""select Col2 limit 30""))"),989.1966666666666)</f>
        <v>989.1966667</v>
      </c>
      <c r="I80" s="10">
        <f>IFERROR(__xludf.DUMMYFUNCTION("AVERAGE(QUERY(SORT(GOOGLEFINANCE(B80,""price"",TODAY()-365,TODAY()),1,0),""select Col2 limit 60""))"),960.6041666666666)</f>
        <v>960.6041667</v>
      </c>
      <c r="J80" s="10">
        <f>IFERROR(__xludf.DUMMYFUNCTION("AVERAGE(QUERY(SORT(GOOGLEFINANCE(B80,""price"",TODAY()-365,TODAY()),1,0),""select Col2 limit 90""))"),946.5211111111109)</f>
        <v>946.5211111</v>
      </c>
      <c r="K80" s="10">
        <f>IFERROR(__xludf.DUMMYFUNCTION("AVERAGE(QUERY(SORT(GOOGLEFINANCE(B80,""price"",TODAY()-365,TODAY()),1,0),""select Col2 limit 120""))"),935.379583333333)</f>
        <v>935.3795833</v>
      </c>
      <c r="L80" s="10">
        <f>IFERROR(__xludf.DUMMYFUNCTION("AVERAGE(QUERY(SORT(GOOGLEFINANCE(B80,""price"",TODAY()-365,TODAY()),1,0),""select Col2 limit 200""))"),894.4624999999997)</f>
        <v>894.4625</v>
      </c>
      <c r="M80" s="11" t="str">
        <f t="shared" si="2"/>
        <v>Avoid</v>
      </c>
    </row>
    <row r="81">
      <c r="A81" s="5" t="s">
        <v>92</v>
      </c>
      <c r="B81" s="6" t="str">
        <f t="shared" si="1"/>
        <v>NSE:UNOMINDA</v>
      </c>
      <c r="C81" s="7">
        <f>IFERROR(__xludf.DUMMYFUNCTION("GOOGLEFINANCE(B81,""price"")"),996.8)</f>
        <v>996.8</v>
      </c>
      <c r="D81" s="8">
        <f>IFERROR(__xludf.DUMMYFUNCTION("GOOGLEFINANCE(B81,""Volume"")"),228775.0)</f>
        <v>228775</v>
      </c>
      <c r="E81" s="7">
        <v>20.0</v>
      </c>
      <c r="F81" s="9" t="str">
        <f>IFERROR(__xludf.DUMMYFUNCTION("IF(D81&gt;AVERAGE(INDEX(GOOGLEFINANCE(B81,""volume"",WORKDAY(TODAY(),-$E$2),TODAY()),,2)),""Breakout"","""")"),"")</f>
        <v/>
      </c>
      <c r="G81" s="8">
        <f>IFERROR(__xludf.DUMMYFUNCTION("AVERAGE(QUERY(SORT(GOOGLEFINANCE(B81,""price"",TODAY()-365,TODAY()),1,0),""select Col2 limit 10""))"),948.86)</f>
        <v>948.86</v>
      </c>
      <c r="H81" s="10">
        <f>IFERROR(__xludf.DUMMYFUNCTION("AVERAGE(QUERY(SORT(GOOGLEFINANCE(B81,""price"",TODAY()-365,TODAY()),1,0),""select Col2 limit 30""))"),1020.8283333333334)</f>
        <v>1020.828333</v>
      </c>
      <c r="I81" s="10">
        <f>IFERROR(__xludf.DUMMYFUNCTION("AVERAGE(QUERY(SORT(GOOGLEFINANCE(B81,""price"",TODAY()-365,TODAY()),1,0),""select Col2 limit 60""))"),1057.8391666666666)</f>
        <v>1057.839167</v>
      </c>
      <c r="J81" s="10">
        <f>IFERROR(__xludf.DUMMYFUNCTION("AVERAGE(QUERY(SORT(GOOGLEFINANCE(B81,""price"",TODAY()-365,TODAY()),1,0),""select Col2 limit 90""))"),1056.9072222222226)</f>
        <v>1056.907222</v>
      </c>
      <c r="K81" s="10">
        <f>IFERROR(__xludf.DUMMYFUNCTION("AVERAGE(QUERY(SORT(GOOGLEFINANCE(B81,""price"",TODAY()-365,TODAY()),1,0),""select Col2 limit 120""))"),1015.1216666666668)</f>
        <v>1015.121667</v>
      </c>
      <c r="L81" s="10">
        <f>IFERROR(__xludf.DUMMYFUNCTION("AVERAGE(QUERY(SORT(GOOGLEFINANCE(B81,""price"",TODAY()-365,TODAY()),1,0),""select Col2 limit 200""))"),882.23725)</f>
        <v>882.23725</v>
      </c>
      <c r="M81" s="11" t="str">
        <f t="shared" si="2"/>
        <v>Avoid</v>
      </c>
    </row>
    <row r="82">
      <c r="A82" s="5" t="s">
        <v>93</v>
      </c>
      <c r="B82" s="6" t="str">
        <f t="shared" si="1"/>
        <v>NSE:BAJAJFINSV</v>
      </c>
      <c r="C82" s="7">
        <f>IFERROR(__xludf.DUMMYFUNCTION("GOOGLEFINANCE(B82,""price"")"),1720.35)</f>
        <v>1720.35</v>
      </c>
      <c r="D82" s="8">
        <f>IFERROR(__xludf.DUMMYFUNCTION("GOOGLEFINANCE(B82,""Volume"")"),681434.0)</f>
        <v>681434</v>
      </c>
      <c r="E82" s="7">
        <v>20.0</v>
      </c>
      <c r="F82" s="9" t="str">
        <f>IFERROR(__xludf.DUMMYFUNCTION("IF(D82&gt;AVERAGE(INDEX(GOOGLEFINANCE(B82,""volume"",WORKDAY(TODAY(),-$E$2),TODAY()),,2)),""Breakout"","""")"),"")</f>
        <v/>
      </c>
      <c r="G82" s="8">
        <f>IFERROR(__xludf.DUMMYFUNCTION("AVERAGE(QUERY(SORT(GOOGLEFINANCE(B82,""price"",TODAY()-365,TODAY()),1,0),""select Col2 limit 10""))"),1749.045)</f>
        <v>1749.045</v>
      </c>
      <c r="H82" s="10">
        <f>IFERROR(__xludf.DUMMYFUNCTION("AVERAGE(QUERY(SORT(GOOGLEFINANCE(B82,""price"",TODAY()-365,TODAY()),1,0),""select Col2 limit 30""))"),1850.8783333333338)</f>
        <v>1850.878333</v>
      </c>
      <c r="I82" s="10">
        <f>IFERROR(__xludf.DUMMYFUNCTION("AVERAGE(QUERY(SORT(GOOGLEFINANCE(B82,""price"",TODAY()-365,TODAY()),1,0),""select Col2 limit 60""))"),1787.3099999999997)</f>
        <v>1787.31</v>
      </c>
      <c r="J82" s="10">
        <f>IFERROR(__xludf.DUMMYFUNCTION("AVERAGE(QUERY(SORT(GOOGLEFINANCE(B82,""price"",TODAY()-365,TODAY()),1,0),""select Col2 limit 90""))"),1725.1622222222222)</f>
        <v>1725.162222</v>
      </c>
      <c r="K82" s="10">
        <f>IFERROR(__xludf.DUMMYFUNCTION("AVERAGE(QUERY(SORT(GOOGLEFINANCE(B82,""price"",TODAY()-365,TODAY()),1,0),""select Col2 limit 120""))"),1687.0345833333336)</f>
        <v>1687.034583</v>
      </c>
      <c r="L82" s="10">
        <f>IFERROR(__xludf.DUMMYFUNCTION("AVERAGE(QUERY(SORT(GOOGLEFINANCE(B82,""price"",TODAY()-365,TODAY()),1,0),""select Col2 limit 200""))"),1657.1880000000006)</f>
        <v>1657.188</v>
      </c>
      <c r="M82" s="11" t="str">
        <f t="shared" si="2"/>
        <v>Avoid</v>
      </c>
    </row>
    <row r="83">
      <c r="A83" s="5" t="s">
        <v>94</v>
      </c>
      <c r="B83" s="6" t="str">
        <f t="shared" si="1"/>
        <v>NSE:HDFCLIFE</v>
      </c>
      <c r="C83" s="7">
        <f>IFERROR(__xludf.DUMMYFUNCTION("GOOGLEFINANCE(B83,""price"")"),712.35)</f>
        <v>712.35</v>
      </c>
      <c r="D83" s="8">
        <f>IFERROR(__xludf.DUMMYFUNCTION("GOOGLEFINANCE(B83,""Volume"")"),1085123.0)</f>
        <v>1085123</v>
      </c>
      <c r="E83" s="7">
        <v>20.0</v>
      </c>
      <c r="F83" s="9" t="str">
        <f>IFERROR(__xludf.DUMMYFUNCTION("IF(D83&gt;AVERAGE(INDEX(GOOGLEFINANCE(B83,""volume"",WORKDAY(TODAY(),-$E$2),TODAY()),,2)),""Breakout"","""")"),"")</f>
        <v/>
      </c>
      <c r="G83" s="8">
        <f>IFERROR(__xludf.DUMMYFUNCTION("AVERAGE(QUERY(SORT(GOOGLEFINANCE(B83,""price"",TODAY()-365,TODAY()),1,0),""select Col2 limit 10""))"),727.24)</f>
        <v>727.24</v>
      </c>
      <c r="H83" s="10">
        <f>IFERROR(__xludf.DUMMYFUNCTION("AVERAGE(QUERY(SORT(GOOGLEFINANCE(B83,""price"",TODAY()-365,TODAY()),1,0),""select Col2 limit 30""))"),721.2416666666667)</f>
        <v>721.2416667</v>
      </c>
      <c r="I83" s="10">
        <f>IFERROR(__xludf.DUMMYFUNCTION("AVERAGE(QUERY(SORT(GOOGLEFINANCE(B83,""price"",TODAY()-365,TODAY()),1,0),""select Col2 limit 60""))"),719.6525)</f>
        <v>719.6525</v>
      </c>
      <c r="J83" s="10">
        <f>IFERROR(__xludf.DUMMYFUNCTION("AVERAGE(QUERY(SORT(GOOGLEFINANCE(B83,""price"",TODAY()-365,TODAY()),1,0),""select Col2 limit 90""))"),694.7094444444446)</f>
        <v>694.7094444</v>
      </c>
      <c r="K83" s="10">
        <f>IFERROR(__xludf.DUMMYFUNCTION("AVERAGE(QUERY(SORT(GOOGLEFINANCE(B83,""price"",TODAY()-365,TODAY()),1,0),""select Col2 limit 120""))"),662.9733333333334)</f>
        <v>662.9733333</v>
      </c>
      <c r="L83" s="10">
        <f>IFERROR(__xludf.DUMMYFUNCTION("AVERAGE(QUERY(SORT(GOOGLEFINANCE(B83,""price"",TODAY()-365,TODAY()),1,0),""select Col2 limit 200""))"),638.3770000000001)</f>
        <v>638.377</v>
      </c>
      <c r="M83" s="11" t="str">
        <f t="shared" si="2"/>
        <v>Avoid</v>
      </c>
    </row>
    <row r="84">
      <c r="A84" s="5" t="s">
        <v>95</v>
      </c>
      <c r="B84" s="6" t="str">
        <f t="shared" si="1"/>
        <v>NSE:PNB</v>
      </c>
      <c r="C84" s="7">
        <f>IFERROR(__xludf.DUMMYFUNCTION("GOOGLEFINANCE(B84,""price"")"),99.99)</f>
        <v>99.99</v>
      </c>
      <c r="D84" s="8">
        <f>IFERROR(__xludf.DUMMYFUNCTION("GOOGLEFINANCE(B84,""Volume"")"),7.4403473E7)</f>
        <v>74403473</v>
      </c>
      <c r="E84" s="7">
        <v>20.0</v>
      </c>
      <c r="F84" s="9" t="str">
        <f>IFERROR(__xludf.DUMMYFUNCTION("IF(D84&gt;AVERAGE(INDEX(GOOGLEFINANCE(B84,""volume"",WORKDAY(TODAY(),-$E$2),TODAY()),,2)),""Breakout"","""")"),"Breakout")</f>
        <v>Breakout</v>
      </c>
      <c r="G84" s="8">
        <f>IFERROR(__xludf.DUMMYFUNCTION("AVERAGE(QUERY(SORT(GOOGLEFINANCE(B84,""price"",TODAY()-365,TODAY()),1,0),""select Col2 limit 10""))"),98.949)</f>
        <v>98.949</v>
      </c>
      <c r="H84" s="10">
        <f>IFERROR(__xludf.DUMMYFUNCTION("AVERAGE(QUERY(SORT(GOOGLEFINANCE(B84,""price"",TODAY()-365,TODAY()),1,0),""select Col2 limit 30""))"),103.47133333333333)</f>
        <v>103.4713333</v>
      </c>
      <c r="I84" s="10">
        <f>IFERROR(__xludf.DUMMYFUNCTION("AVERAGE(QUERY(SORT(GOOGLEFINANCE(B84,""price"",TODAY()-365,TODAY()),1,0),""select Col2 limit 60""))"),108.48316666666669)</f>
        <v>108.4831667</v>
      </c>
      <c r="J84" s="10">
        <f>IFERROR(__xludf.DUMMYFUNCTION("AVERAGE(QUERY(SORT(GOOGLEFINANCE(B84,""price"",TODAY()-365,TODAY()),1,0),""select Col2 limit 90""))"),112.47555555555554)</f>
        <v>112.4755556</v>
      </c>
      <c r="K84" s="10">
        <f>IFERROR(__xludf.DUMMYFUNCTION("AVERAGE(QUERY(SORT(GOOGLEFINANCE(B84,""price"",TODAY()-365,TODAY()),1,0),""select Col2 limit 120""))"),115.93416666666666)</f>
        <v>115.9341667</v>
      </c>
      <c r="L84" s="10">
        <f>IFERROR(__xludf.DUMMYFUNCTION("AVERAGE(QUERY(SORT(GOOGLEFINANCE(B84,""price"",TODAY()-365,TODAY()),1,0),""select Col2 limit 200""))"),118.48075000000003)</f>
        <v>118.48075</v>
      </c>
      <c r="M84" s="11" t="str">
        <f t="shared" si="2"/>
        <v>Avoid</v>
      </c>
    </row>
    <row r="85">
      <c r="A85" s="5" t="s">
        <v>96</v>
      </c>
      <c r="B85" s="6" t="str">
        <f t="shared" si="1"/>
        <v>NSE:JUBLFOOD</v>
      </c>
      <c r="C85" s="7">
        <f>IFERROR(__xludf.DUMMYFUNCTION("GOOGLEFINANCE(B85,""price"")"),566.0)</f>
        <v>566</v>
      </c>
      <c r="D85" s="8">
        <f>IFERROR(__xludf.DUMMYFUNCTION("GOOGLEFINANCE(B85,""Volume"")"),618015.0)</f>
        <v>618015</v>
      </c>
      <c r="E85" s="7">
        <v>20.0</v>
      </c>
      <c r="F85" s="9" t="str">
        <f>IFERROR(__xludf.DUMMYFUNCTION("IF(D85&gt;AVERAGE(INDEX(GOOGLEFINANCE(B85,""volume"",WORKDAY(TODAY(),-$E$2),TODAY()),,2)),""Breakout"","""")"),"")</f>
        <v/>
      </c>
      <c r="G85" s="8">
        <f>IFERROR(__xludf.DUMMYFUNCTION("AVERAGE(QUERY(SORT(GOOGLEFINANCE(B85,""price"",TODAY()-365,TODAY()),1,0),""select Col2 limit 10""))"),597.11)</f>
        <v>597.11</v>
      </c>
      <c r="H85" s="10">
        <f>IFERROR(__xludf.DUMMYFUNCTION("AVERAGE(QUERY(SORT(GOOGLEFINANCE(B85,""price"",TODAY()-365,TODAY()),1,0),""select Col2 limit 30""))"),635.5166666666667)</f>
        <v>635.5166667</v>
      </c>
      <c r="I85" s="10">
        <f>IFERROR(__xludf.DUMMYFUNCTION("AVERAGE(QUERY(SORT(GOOGLEFINANCE(B85,""price"",TODAY()-365,TODAY()),1,0),""select Col2 limit 60""))"),641.9583333333334)</f>
        <v>641.9583333</v>
      </c>
      <c r="J85" s="10">
        <f>IFERROR(__xludf.DUMMYFUNCTION("AVERAGE(QUERY(SORT(GOOGLEFINANCE(B85,""price"",TODAY()-365,TODAY()),1,0),""select Col2 limit 90""))"),620.2516666666669)</f>
        <v>620.2516667</v>
      </c>
      <c r="K85" s="10">
        <f>IFERROR(__xludf.DUMMYFUNCTION("AVERAGE(QUERY(SORT(GOOGLEFINANCE(B85,""price"",TODAY()-365,TODAY()),1,0),""select Col2 limit 120""))"),591.7870833333335)</f>
        <v>591.7870833</v>
      </c>
      <c r="L85" s="10">
        <f>IFERROR(__xludf.DUMMYFUNCTION("AVERAGE(QUERY(SORT(GOOGLEFINANCE(B85,""price"",TODAY()-365,TODAY()),1,0),""select Col2 limit 200""))"),545.0967499999999)</f>
        <v>545.09675</v>
      </c>
      <c r="M85" s="11" t="str">
        <f t="shared" si="2"/>
        <v>Best for Sell Below 200 DMA</v>
      </c>
    </row>
    <row r="86">
      <c r="A86" s="5" t="s">
        <v>97</v>
      </c>
      <c r="B86" s="6" t="str">
        <f t="shared" si="1"/>
        <v>NSE:JIOFIN</v>
      </c>
      <c r="C86" s="7">
        <f>IFERROR(__xludf.DUMMYFUNCTION("GOOGLEFINANCE(B86,""price"")"),320.45)</f>
        <v>320.45</v>
      </c>
      <c r="D86" s="8">
        <f>IFERROR(__xludf.DUMMYFUNCTION("GOOGLEFINANCE(B86,""Volume"")"),4770120.0)</f>
        <v>4770120</v>
      </c>
      <c r="E86" s="7">
        <v>20.0</v>
      </c>
      <c r="F86" s="9" t="str">
        <f>IFERROR(__xludf.DUMMYFUNCTION("IF(D86&gt;AVERAGE(INDEX(GOOGLEFINANCE(B86,""volume"",WORKDAY(TODAY(),-$E$2),TODAY()),,2)),""Breakout"","""")"),"")</f>
        <v/>
      </c>
      <c r="G86" s="8">
        <f>IFERROR(__xludf.DUMMYFUNCTION("AVERAGE(QUERY(SORT(GOOGLEFINANCE(B86,""price"",TODAY()-365,TODAY()),1,0),""select Col2 limit 10""))"),319.87)</f>
        <v>319.87</v>
      </c>
      <c r="H86" s="10">
        <f>IFERROR(__xludf.DUMMYFUNCTION("AVERAGE(QUERY(SORT(GOOGLEFINANCE(B86,""price"",TODAY()-365,TODAY()),1,0),""select Col2 limit 30""))"),336.7866666666667)</f>
        <v>336.7866667</v>
      </c>
      <c r="I86" s="10">
        <f>IFERROR(__xludf.DUMMYFUNCTION("AVERAGE(QUERY(SORT(GOOGLEFINANCE(B86,""price"",TODAY()-365,TODAY()),1,0),""select Col2 limit 60""))"),336.1183333333334)</f>
        <v>336.1183333</v>
      </c>
      <c r="J86" s="10">
        <f>IFERROR(__xludf.DUMMYFUNCTION("AVERAGE(QUERY(SORT(GOOGLEFINANCE(B86,""price"",TODAY()-365,TODAY()),1,0),""select Col2 limit 90""))"),337.9533333333333)</f>
        <v>337.9533333</v>
      </c>
      <c r="K86" s="10">
        <f>IFERROR(__xludf.DUMMYFUNCTION("AVERAGE(QUERY(SORT(GOOGLEFINANCE(B86,""price"",TODAY()-365,TODAY()),1,0),""select Col2 limit 120""))"),342.0845833333332)</f>
        <v>342.0845833</v>
      </c>
      <c r="L86" s="10">
        <f>IFERROR(__xludf.DUMMYFUNCTION("AVERAGE(QUERY(SORT(GOOGLEFINANCE(B86,""price"",TODAY()-365,TODAY()),1,0),""select Col2 limit 200""))"),332.3602499999998)</f>
        <v>332.36025</v>
      </c>
      <c r="M86" s="11" t="str">
        <f t="shared" si="2"/>
        <v>Avoid</v>
      </c>
    </row>
    <row r="87">
      <c r="A87" s="5" t="s">
        <v>98</v>
      </c>
      <c r="B87" s="6" t="str">
        <f t="shared" si="1"/>
        <v>NSE:DIVISLAB</v>
      </c>
      <c r="C87" s="7">
        <f>IFERROR(__xludf.DUMMYFUNCTION("GOOGLEFINANCE(B87,""price"")"),5910.0)</f>
        <v>5910</v>
      </c>
      <c r="D87" s="8">
        <f>IFERROR(__xludf.DUMMYFUNCTION("GOOGLEFINANCE(B87,""Volume"")"),204412.0)</f>
        <v>204412</v>
      </c>
      <c r="E87" s="7">
        <v>20.0</v>
      </c>
      <c r="F87" s="9" t="str">
        <f>IFERROR(__xludf.DUMMYFUNCTION("IF(D87&gt;AVERAGE(INDEX(GOOGLEFINANCE(B87,""volume"",WORKDAY(TODAY(),-$E$2),TODAY()),,2)),""Breakout"","""")"),"")</f>
        <v/>
      </c>
      <c r="G87" s="8">
        <f>IFERROR(__xludf.DUMMYFUNCTION("AVERAGE(QUERY(SORT(GOOGLEFINANCE(B87,""price"",TODAY()-365,TODAY()),1,0),""select Col2 limit 10""))"),5840.42)</f>
        <v>5840.42</v>
      </c>
      <c r="H87" s="10">
        <f>IFERROR(__xludf.DUMMYFUNCTION("AVERAGE(QUERY(SORT(GOOGLEFINANCE(B87,""price"",TODAY()-365,TODAY()),1,0),""select Col2 limit 30""))"),5717.848333333332)</f>
        <v>5717.848333</v>
      </c>
      <c r="I87" s="10">
        <f>IFERROR(__xludf.DUMMYFUNCTION("AVERAGE(QUERY(SORT(GOOGLEFINANCE(B87,""price"",TODAY()-365,TODAY()),1,0),""select Col2 limit 60""))"),5385.030000000001)</f>
        <v>5385.03</v>
      </c>
      <c r="J87" s="10">
        <f>IFERROR(__xludf.DUMMYFUNCTION("AVERAGE(QUERY(SORT(GOOGLEFINANCE(B87,""price"",TODAY()-365,TODAY()),1,0),""select Col2 limit 90""))"),5139.01611111111)</f>
        <v>5139.016111</v>
      </c>
      <c r="K87" s="10">
        <f>IFERROR(__xludf.DUMMYFUNCTION("AVERAGE(QUERY(SORT(GOOGLEFINANCE(B87,""price"",TODAY()-365,TODAY()),1,0),""select Col2 limit 120""))"),4927.756250000001)</f>
        <v>4927.75625</v>
      </c>
      <c r="L87" s="10">
        <f>IFERROR(__xludf.DUMMYFUNCTION("AVERAGE(QUERY(SORT(GOOGLEFINANCE(B87,""price"",TODAY()-365,TODAY()),1,0),""select Col2 limit 200""))"),4431.042250000001)</f>
        <v>4431.04225</v>
      </c>
      <c r="M87" s="11" t="str">
        <f t="shared" si="2"/>
        <v>Avoid</v>
      </c>
    </row>
    <row r="88">
      <c r="A88" s="5" t="s">
        <v>99</v>
      </c>
      <c r="B88" s="6" t="str">
        <f t="shared" si="1"/>
        <v>NSE:DLF</v>
      </c>
      <c r="C88" s="7">
        <f>IFERROR(__xludf.DUMMYFUNCTION("GOOGLEFINANCE(B88,""price"")"),798.25)</f>
        <v>798.25</v>
      </c>
      <c r="D88" s="8">
        <f>IFERROR(__xludf.DUMMYFUNCTION("GOOGLEFINANCE(B88,""Volume"")"),1632401.0)</f>
        <v>1632401</v>
      </c>
      <c r="E88" s="7">
        <v>20.0</v>
      </c>
      <c r="F88" s="9" t="str">
        <f>IFERROR(__xludf.DUMMYFUNCTION("IF(D88&gt;AVERAGE(INDEX(GOOGLEFINANCE(B88,""volume"",WORKDAY(TODAY(),-$E$2),TODAY()),,2)),""Breakout"","""")"),"")</f>
        <v/>
      </c>
      <c r="G88" s="8">
        <f>IFERROR(__xludf.DUMMYFUNCTION("AVERAGE(QUERY(SORT(GOOGLEFINANCE(B88,""price"",TODAY()-365,TODAY()),1,0),""select Col2 limit 10""))"),823.64)</f>
        <v>823.64</v>
      </c>
      <c r="H88" s="10">
        <f>IFERROR(__xludf.DUMMYFUNCTION("AVERAGE(QUERY(SORT(GOOGLEFINANCE(B88,""price"",TODAY()-365,TODAY()),1,0),""select Col2 limit 30""))"),859.2033333333333)</f>
        <v>859.2033333</v>
      </c>
      <c r="I88" s="10">
        <f>IFERROR(__xludf.DUMMYFUNCTION("AVERAGE(QUERY(SORT(GOOGLEFINANCE(B88,""price"",TODAY()-365,TODAY()),1,0),""select Col2 limit 60""))"),851.5333333333332)</f>
        <v>851.5333333</v>
      </c>
      <c r="J88" s="10">
        <f>IFERROR(__xludf.DUMMYFUNCTION("AVERAGE(QUERY(SORT(GOOGLEFINANCE(B88,""price"",TODAY()-365,TODAY()),1,0),""select Col2 limit 90""))"),846.0605555555552)</f>
        <v>846.0605556</v>
      </c>
      <c r="K88" s="10">
        <f>IFERROR(__xludf.DUMMYFUNCTION("AVERAGE(QUERY(SORT(GOOGLEFINANCE(B88,""price"",TODAY()-365,TODAY()),1,0),""select Col2 limit 120""))"),844.8041666666664)</f>
        <v>844.8041667</v>
      </c>
      <c r="L88" s="10">
        <f>IFERROR(__xludf.DUMMYFUNCTION("AVERAGE(QUERY(SORT(GOOGLEFINANCE(B88,""price"",TODAY()-365,TODAY()),1,0),""select Col2 limit 200""))"),849.2237499999995)</f>
        <v>849.22375</v>
      </c>
      <c r="M88" s="11" t="str">
        <f t="shared" si="2"/>
        <v>Avoid</v>
      </c>
    </row>
    <row r="89">
      <c r="A89" s="5" t="s">
        <v>100</v>
      </c>
      <c r="B89" s="6" t="str">
        <f t="shared" si="1"/>
        <v>NSE:GAIL</v>
      </c>
      <c r="C89" s="7">
        <f>IFERROR(__xludf.DUMMYFUNCTION("GOOGLEFINANCE(B89,""price"")"),197.17)</f>
        <v>197.17</v>
      </c>
      <c r="D89" s="8">
        <f>IFERROR(__xludf.DUMMYFUNCTION("GOOGLEFINANCE(B89,""Volume"")"),5736999.0)</f>
        <v>5736999</v>
      </c>
      <c r="E89" s="7">
        <v>20.0</v>
      </c>
      <c r="F89" s="9" t="str">
        <f>IFERROR(__xludf.DUMMYFUNCTION("IF(D89&gt;AVERAGE(INDEX(GOOGLEFINANCE(B89,""volume"",WORKDAY(TODAY(),-$E$2),TODAY()),,2)),""Breakout"","""")"),"")</f>
        <v/>
      </c>
      <c r="G89" s="8">
        <f>IFERROR(__xludf.DUMMYFUNCTION("AVERAGE(QUERY(SORT(GOOGLEFINANCE(B89,""price"",TODAY()-365,TODAY()),1,0),""select Col2 limit 10""))"),209.689)</f>
        <v>209.689</v>
      </c>
      <c r="H89" s="10">
        <f>IFERROR(__xludf.DUMMYFUNCTION("AVERAGE(QUERY(SORT(GOOGLEFINANCE(B89,""price"",TODAY()-365,TODAY()),1,0),""select Col2 limit 30""))"),221.62366666666665)</f>
        <v>221.6236667</v>
      </c>
      <c r="I89" s="10">
        <f>IFERROR(__xludf.DUMMYFUNCTION("AVERAGE(QUERY(SORT(GOOGLEFINANCE(B89,""price"",TODAY()-365,TODAY()),1,0),""select Col2 limit 60""))"),225.07916666666657)</f>
        <v>225.0791667</v>
      </c>
      <c r="J89" s="10">
        <f>IFERROR(__xludf.DUMMYFUNCTION("AVERAGE(QUERY(SORT(GOOGLEFINANCE(B89,""price"",TODAY()-365,TODAY()),1,0),""select Col2 limit 90""))"),225.52644444444437)</f>
        <v>225.5264444</v>
      </c>
      <c r="K89" s="10">
        <f>IFERROR(__xludf.DUMMYFUNCTION("AVERAGE(QUERY(SORT(GOOGLEFINANCE(B89,""price"",TODAY()-365,TODAY()),1,0),""select Col2 limit 120""))"),220.84375)</f>
        <v>220.84375</v>
      </c>
      <c r="L89" s="10">
        <f>IFERROR(__xludf.DUMMYFUNCTION("AVERAGE(QUERY(SORT(GOOGLEFINANCE(B89,""price"",TODAY()-365,TODAY()),1,0),""select Col2 limit 200""))"),205.85924999999995)</f>
        <v>205.85925</v>
      </c>
      <c r="M89" s="11" t="str">
        <f t="shared" si="2"/>
        <v>Avoid</v>
      </c>
    </row>
    <row r="90">
      <c r="A90" s="5" t="s">
        <v>101</v>
      </c>
      <c r="B90" s="6" t="str">
        <f t="shared" si="1"/>
        <v>NSE:THERMAX</v>
      </c>
      <c r="C90" s="7">
        <f>IFERROR(__xludf.DUMMYFUNCTION("GOOGLEFINANCE(B90,""price"")"),4986.2)</f>
        <v>4986.2</v>
      </c>
      <c r="D90" s="8">
        <f>IFERROR(__xludf.DUMMYFUNCTION("GOOGLEFINANCE(B90,""Volume"")"),20261.0)</f>
        <v>20261</v>
      </c>
      <c r="E90" s="7">
        <v>20.0</v>
      </c>
      <c r="F90" s="9" t="str">
        <f>IFERROR(__xludf.DUMMYFUNCTION("IF(D90&gt;AVERAGE(INDEX(GOOGLEFINANCE(B90,""volume"",WORKDAY(TODAY(),-$E$2),TODAY()),,2)),""Breakout"","""")"),"")</f>
        <v/>
      </c>
      <c r="G90" s="8">
        <f>IFERROR(__xludf.DUMMYFUNCTION("AVERAGE(QUERY(SORT(GOOGLEFINANCE(B90,""price"",TODAY()-365,TODAY()),1,0),""select Col2 limit 10""))"),5146.804999999999)</f>
        <v>5146.805</v>
      </c>
      <c r="H90" s="10">
        <f>IFERROR(__xludf.DUMMYFUNCTION("AVERAGE(QUERY(SORT(GOOGLEFINANCE(B90,""price"",TODAY()-365,TODAY()),1,0),""select Col2 limit 30""))"),5155.933333333333)</f>
        <v>5155.933333</v>
      </c>
      <c r="I90" s="10">
        <f>IFERROR(__xludf.DUMMYFUNCTION("AVERAGE(QUERY(SORT(GOOGLEFINANCE(B90,""price"",TODAY()-365,TODAY()),1,0),""select Col2 limit 60""))"),4817.134166666668)</f>
        <v>4817.134167</v>
      </c>
      <c r="J90" s="10">
        <f>IFERROR(__xludf.DUMMYFUNCTION("AVERAGE(QUERY(SORT(GOOGLEFINANCE(B90,""price"",TODAY()-365,TODAY()),1,0),""select Col2 limit 90""))"),4923.934444444444)</f>
        <v>4923.934444</v>
      </c>
      <c r="K90" s="10">
        <f>IFERROR(__xludf.DUMMYFUNCTION("AVERAGE(QUERY(SORT(GOOGLEFINANCE(B90,""price"",TODAY()-365,TODAY()),1,0),""select Col2 limit 120""))"),4981.949583333334)</f>
        <v>4981.949583</v>
      </c>
      <c r="L90" s="10">
        <f>IFERROR(__xludf.DUMMYFUNCTION("AVERAGE(QUERY(SORT(GOOGLEFINANCE(B90,""price"",TODAY()-365,TODAY()),1,0),""select Col2 limit 200""))"),4512.374000000001)</f>
        <v>4512.374</v>
      </c>
      <c r="M90" s="11" t="str">
        <f t="shared" si="2"/>
        <v>Avoid</v>
      </c>
    </row>
    <row r="91">
      <c r="A91" s="5" t="s">
        <v>102</v>
      </c>
      <c r="B91" s="6" t="str">
        <f t="shared" si="1"/>
        <v>NSE:PARAS</v>
      </c>
      <c r="C91" s="7">
        <f>IFERROR(__xludf.DUMMYFUNCTION("GOOGLEFINANCE(B91,""price"")"),1025.95)</f>
        <v>1025.95</v>
      </c>
      <c r="D91" s="8">
        <f>IFERROR(__xludf.DUMMYFUNCTION("GOOGLEFINANCE(B91,""Volume"")"),117382.0)</f>
        <v>117382</v>
      </c>
      <c r="E91" s="7">
        <v>20.0</v>
      </c>
      <c r="F91" s="9" t="str">
        <f>IFERROR(__xludf.DUMMYFUNCTION("IF(D91&gt;AVERAGE(INDEX(GOOGLEFINANCE(B91,""volume"",WORKDAY(TODAY(),-$E$2),TODAY()),,2)),""Breakout"","""")"),"")</f>
        <v/>
      </c>
      <c r="G91" s="8">
        <f>IFERROR(__xludf.DUMMYFUNCTION("AVERAGE(QUERY(SORT(GOOGLEFINANCE(B91,""price"",TODAY()-365,TODAY()),1,0),""select Col2 limit 10""))"),990.3149999999999)</f>
        <v>990.315</v>
      </c>
      <c r="H91" s="10">
        <f>IFERROR(__xludf.DUMMYFUNCTION("AVERAGE(QUERY(SORT(GOOGLEFINANCE(B91,""price"",TODAY()-365,TODAY()),1,0),""select Col2 limit 30""))"),1053.2683333333334)</f>
        <v>1053.268333</v>
      </c>
      <c r="I91" s="10">
        <f>IFERROR(__xludf.DUMMYFUNCTION("AVERAGE(QUERY(SORT(GOOGLEFINANCE(B91,""price"",TODAY()-365,TODAY()),1,0),""select Col2 limit 60""))"),1134.2241666666669)</f>
        <v>1134.224167</v>
      </c>
      <c r="J91" s="10">
        <f>IFERROR(__xludf.DUMMYFUNCTION("AVERAGE(QUERY(SORT(GOOGLEFINANCE(B91,""price"",TODAY()-365,TODAY()),1,0),""select Col2 limit 90""))"),1217.5833333333337)</f>
        <v>1217.583333</v>
      </c>
      <c r="K91" s="10">
        <f>IFERROR(__xludf.DUMMYFUNCTION("AVERAGE(QUERY(SORT(GOOGLEFINANCE(B91,""price"",TODAY()-365,TODAY()),1,0),""select Col2 limit 120""))"),1148.724583333334)</f>
        <v>1148.724583</v>
      </c>
      <c r="L91" s="10">
        <f>IFERROR(__xludf.DUMMYFUNCTION("AVERAGE(QUERY(SORT(GOOGLEFINANCE(B91,""price"",TODAY()-365,TODAY()),1,0),""select Col2 limit 200""))"),977.5340000000002)</f>
        <v>977.534</v>
      </c>
      <c r="M91" s="11" t="str">
        <f t="shared" si="2"/>
        <v>Avoid</v>
      </c>
    </row>
    <row r="92">
      <c r="A92" s="5" t="s">
        <v>103</v>
      </c>
      <c r="B92" s="6" t="str">
        <f t="shared" si="1"/>
        <v>NSE:TECHM</v>
      </c>
      <c r="C92" s="7">
        <f>IFERROR(__xludf.DUMMYFUNCTION("GOOGLEFINANCE(B92,""price"")"),1628.0)</f>
        <v>1628</v>
      </c>
      <c r="D92" s="8">
        <f>IFERROR(__xludf.DUMMYFUNCTION("GOOGLEFINANCE(B92,""Volume"")"),1613435.0)</f>
        <v>1613435</v>
      </c>
      <c r="E92" s="7">
        <v>20.0</v>
      </c>
      <c r="F92" s="9" t="str">
        <f>IFERROR(__xludf.DUMMYFUNCTION("IF(D92&gt;AVERAGE(INDEX(GOOGLEFINANCE(B92,""volume"",WORKDAY(TODAY(),-$E$2),TODAY()),,2)),""Breakout"","""")"),"")</f>
        <v/>
      </c>
      <c r="G92" s="8">
        <f>IFERROR(__xludf.DUMMYFUNCTION("AVERAGE(QUERY(SORT(GOOGLEFINANCE(B92,""price"",TODAY()-365,TODAY()),1,0),""select Col2 limit 10""))"),1696.845)</f>
        <v>1696.845</v>
      </c>
      <c r="H92" s="10">
        <f>IFERROR(__xludf.DUMMYFUNCTION("AVERAGE(QUERY(SORT(GOOGLEFINANCE(B92,""price"",TODAY()-365,TODAY()),1,0),""select Col2 limit 30""))"),1652.4166666666665)</f>
        <v>1652.416667</v>
      </c>
      <c r="I92" s="10">
        <f>IFERROR(__xludf.DUMMYFUNCTION("AVERAGE(QUERY(SORT(GOOGLEFINANCE(B92,""price"",TODAY()-365,TODAY()),1,0),""select Col2 limit 60""))"),1625.860833333333)</f>
        <v>1625.860833</v>
      </c>
      <c r="J92" s="10">
        <f>IFERROR(__xludf.DUMMYFUNCTION("AVERAGE(QUERY(SORT(GOOGLEFINANCE(B92,""price"",TODAY()-365,TODAY()),1,0),""select Col2 limit 90""))"),1580.1227777777776)</f>
        <v>1580.122778</v>
      </c>
      <c r="K92" s="10">
        <f>IFERROR(__xludf.DUMMYFUNCTION("AVERAGE(QUERY(SORT(GOOGLEFINANCE(B92,""price"",TODAY()-365,TODAY()),1,0),""select Col2 limit 120""))"),1515.2454166666673)</f>
        <v>1515.245417</v>
      </c>
      <c r="L92" s="10">
        <f>IFERROR(__xludf.DUMMYFUNCTION("AVERAGE(QUERY(SORT(GOOGLEFINANCE(B92,""price"",TODAY()-365,TODAY()),1,0),""select Col2 limit 200""))"),1421.9255000000005)</f>
        <v>1421.9255</v>
      </c>
      <c r="M92" s="11" t="str">
        <f t="shared" si="2"/>
        <v>Avoid</v>
      </c>
    </row>
    <row r="93">
      <c r="A93" s="5" t="s">
        <v>104</v>
      </c>
      <c r="B93" s="6" t="str">
        <f t="shared" si="1"/>
        <v>NSE:SUNDARMFIN</v>
      </c>
      <c r="C93" s="7">
        <f>IFERROR(__xludf.DUMMYFUNCTION("GOOGLEFINANCE(B93,""price"")"),4943.65)</f>
        <v>4943.65</v>
      </c>
      <c r="D93" s="8">
        <f>IFERROR(__xludf.DUMMYFUNCTION("GOOGLEFINANCE(B93,""Volume"")"),35938.0)</f>
        <v>35938</v>
      </c>
      <c r="E93" s="7">
        <v>20.0</v>
      </c>
      <c r="F93" s="9" t="str">
        <f>IFERROR(__xludf.DUMMYFUNCTION("IF(D93&gt;AVERAGE(INDEX(GOOGLEFINANCE(B93,""volume"",WORKDAY(TODAY(),-$E$2),TODAY()),,2)),""Breakout"","""")"),"")</f>
        <v/>
      </c>
      <c r="G93" s="8">
        <f>IFERROR(__xludf.DUMMYFUNCTION("AVERAGE(QUERY(SORT(GOOGLEFINANCE(B93,""price"",TODAY()-365,TODAY()),1,0),""select Col2 limit 10""))"),4861.01)</f>
        <v>4861.01</v>
      </c>
      <c r="H93" s="10">
        <f>IFERROR(__xludf.DUMMYFUNCTION("AVERAGE(QUERY(SORT(GOOGLEFINANCE(B93,""price"",TODAY()-365,TODAY()),1,0),""select Col2 limit 30""))"),5042.804999999999)</f>
        <v>5042.805</v>
      </c>
      <c r="I93" s="10">
        <f>IFERROR(__xludf.DUMMYFUNCTION("AVERAGE(QUERY(SORT(GOOGLEFINANCE(B93,""price"",TODAY()-365,TODAY()),1,0),""select Col2 limit 60""))"),4771.13)</f>
        <v>4771.13</v>
      </c>
      <c r="J93" s="10">
        <f>IFERROR(__xludf.DUMMYFUNCTION("AVERAGE(QUERY(SORT(GOOGLEFINANCE(B93,""price"",TODAY()-365,TODAY()),1,0),""select Col2 limit 90""))"),4664.137777777779)</f>
        <v>4664.137778</v>
      </c>
      <c r="K93" s="10">
        <f>IFERROR(__xludf.DUMMYFUNCTION("AVERAGE(QUERY(SORT(GOOGLEFINANCE(B93,""price"",TODAY()-365,TODAY()),1,0),""select Col2 limit 120""))"),4632.546250000001)</f>
        <v>4632.54625</v>
      </c>
      <c r="L93" s="10">
        <f>IFERROR(__xludf.DUMMYFUNCTION("AVERAGE(QUERY(SORT(GOOGLEFINANCE(B93,""price"",TODAY()-365,TODAY()),1,0),""select Col2 limit 200""))"),4416.198250000003)</f>
        <v>4416.19825</v>
      </c>
      <c r="M93" s="11" t="str">
        <f t="shared" si="2"/>
        <v>Avoid</v>
      </c>
    </row>
    <row r="94">
      <c r="A94" s="5" t="s">
        <v>105</v>
      </c>
      <c r="B94" s="6" t="str">
        <f t="shared" si="1"/>
        <v>NSE:ULTRACEMCO</v>
      </c>
      <c r="C94" s="7">
        <f>IFERROR(__xludf.DUMMYFUNCTION("GOOGLEFINANCE(B94,""price"")"),11070.1)</f>
        <v>11070.1</v>
      </c>
      <c r="D94" s="8">
        <f>IFERROR(__xludf.DUMMYFUNCTION("GOOGLEFINANCE(B94,""Volume"")"),147865.0)</f>
        <v>147865</v>
      </c>
      <c r="E94" s="7">
        <v>20.0</v>
      </c>
      <c r="F94" s="9" t="str">
        <f>IFERROR(__xludf.DUMMYFUNCTION("IF(D94&gt;AVERAGE(INDEX(GOOGLEFINANCE(B94,""volume"",WORKDAY(TODAY(),-$E$2),TODAY()),,2)),""Breakout"","""")"),"")</f>
        <v/>
      </c>
      <c r="G94" s="8">
        <f>IFERROR(__xludf.DUMMYFUNCTION("AVERAGE(QUERY(SORT(GOOGLEFINANCE(B94,""price"",TODAY()-365,TODAY()),1,0),""select Col2 limit 10""))"),11003.105)</f>
        <v>11003.105</v>
      </c>
      <c r="H94" s="10">
        <f>IFERROR(__xludf.DUMMYFUNCTION("AVERAGE(QUERY(SORT(GOOGLEFINANCE(B94,""price"",TODAY()-365,TODAY()),1,0),""select Col2 limit 30""))"),11390.226666666664)</f>
        <v>11390.22667</v>
      </c>
      <c r="I94" s="10">
        <f>IFERROR(__xludf.DUMMYFUNCTION("AVERAGE(QUERY(SORT(GOOGLEFINANCE(B94,""price"",TODAY()-365,TODAY()),1,0),""select Col2 limit 60""))"),11398.431666666664)</f>
        <v>11398.43167</v>
      </c>
      <c r="J94" s="10">
        <f>IFERROR(__xludf.DUMMYFUNCTION("AVERAGE(QUERY(SORT(GOOGLEFINANCE(B94,""price"",TODAY()-365,TODAY()),1,0),""select Col2 limit 90""))"),11472.23611111111)</f>
        <v>11472.23611</v>
      </c>
      <c r="K94" s="10">
        <f>IFERROR(__xludf.DUMMYFUNCTION("AVERAGE(QUERY(SORT(GOOGLEFINANCE(B94,""price"",TODAY()-365,TODAY()),1,0),""select Col2 limit 120""))"),11177.90541666667)</f>
        <v>11177.90542</v>
      </c>
      <c r="L94" s="10">
        <f>IFERROR(__xludf.DUMMYFUNCTION("AVERAGE(QUERY(SORT(GOOGLEFINANCE(B94,""price"",TODAY()-365,TODAY()),1,0),""select Col2 limit 200""))"),10635.341750000003)</f>
        <v>10635.34175</v>
      </c>
      <c r="M94" s="11" t="str">
        <f t="shared" si="2"/>
        <v>Avoid</v>
      </c>
    </row>
    <row r="95">
      <c r="A95" s="5" t="s">
        <v>106</v>
      </c>
      <c r="B95" s="6" t="str">
        <f t="shared" si="1"/>
        <v>NSE:SAIL</v>
      </c>
      <c r="C95" s="7">
        <f>IFERROR(__xludf.DUMMYFUNCTION("GOOGLEFINANCE(B95,""price"")"),114.49)</f>
        <v>114.49</v>
      </c>
      <c r="D95" s="8">
        <f>IFERROR(__xludf.DUMMYFUNCTION("GOOGLEFINANCE(B95,""Volume"")"),1.2545479E7)</f>
        <v>12545479</v>
      </c>
      <c r="E95" s="7">
        <v>20.0</v>
      </c>
      <c r="F95" s="9" t="str">
        <f>IFERROR(__xludf.DUMMYFUNCTION("IF(D95&gt;AVERAGE(INDEX(GOOGLEFINANCE(B95,""volume"",WORKDAY(TODAY(),-$E$2),TODAY()),,2)),""Breakout"","""")"),"")</f>
        <v/>
      </c>
      <c r="G95" s="8">
        <f>IFERROR(__xludf.DUMMYFUNCTION("AVERAGE(QUERY(SORT(GOOGLEFINANCE(B95,""price"",TODAY()-365,TODAY()),1,0),""select Col2 limit 10""))"),118.61899999999999)</f>
        <v>118.619</v>
      </c>
      <c r="H95" s="10">
        <f>IFERROR(__xludf.DUMMYFUNCTION("AVERAGE(QUERY(SORT(GOOGLEFINANCE(B95,""price"",TODAY()-365,TODAY()),1,0),""select Col2 limit 30""))"),128.52933333333334)</f>
        <v>128.5293333</v>
      </c>
      <c r="I95" s="10">
        <f>IFERROR(__xludf.DUMMYFUNCTION("AVERAGE(QUERY(SORT(GOOGLEFINANCE(B95,""price"",TODAY()-365,TODAY()),1,0),""select Col2 limit 60""))"),130.2668333333333)</f>
        <v>130.2668333</v>
      </c>
      <c r="J95" s="10">
        <f>IFERROR(__xludf.DUMMYFUNCTION("AVERAGE(QUERY(SORT(GOOGLEFINANCE(B95,""price"",TODAY()-365,TODAY()),1,0),""select Col2 limit 90""))"),136.1082222222222)</f>
        <v>136.1082222</v>
      </c>
      <c r="K95" s="10">
        <f>IFERROR(__xludf.DUMMYFUNCTION("AVERAGE(QUERY(SORT(GOOGLEFINANCE(B95,""price"",TODAY()-365,TODAY()),1,0),""select Col2 limit 120""))"),141.48583333333332)</f>
        <v>141.4858333</v>
      </c>
      <c r="L95" s="10">
        <f>IFERROR(__xludf.DUMMYFUNCTION("AVERAGE(QUERY(SORT(GOOGLEFINANCE(B95,""price"",TODAY()-365,TODAY()),1,0),""select Col2 limit 200""))"),138.82725)</f>
        <v>138.82725</v>
      </c>
      <c r="M95" s="11" t="str">
        <f t="shared" si="2"/>
        <v>Avoid</v>
      </c>
    </row>
    <row r="96">
      <c r="A96" s="5" t="s">
        <v>107</v>
      </c>
      <c r="B96" s="6" t="str">
        <f t="shared" si="1"/>
        <v>NSE:SHRIRAMFIN</v>
      </c>
      <c r="C96" s="7">
        <f>IFERROR(__xludf.DUMMYFUNCTION("GOOGLEFINANCE(B96,""price"")"),3120.0)</f>
        <v>3120</v>
      </c>
      <c r="D96" s="8">
        <f>IFERROR(__xludf.DUMMYFUNCTION("GOOGLEFINANCE(B96,""Volume"")"),471753.0)</f>
        <v>471753</v>
      </c>
      <c r="E96" s="7">
        <v>20.0</v>
      </c>
      <c r="F96" s="9" t="str">
        <f>IFERROR(__xludf.DUMMYFUNCTION("IF(D96&gt;AVERAGE(INDEX(GOOGLEFINANCE(B96,""volume"",WORKDAY(TODAY(),-$E$2),TODAY()),,2)),""Breakout"","""")"),"")</f>
        <v/>
      </c>
      <c r="G96" s="8">
        <f>IFERROR(__xludf.DUMMYFUNCTION("AVERAGE(QUERY(SORT(GOOGLEFINANCE(B96,""price"",TODAY()-365,TODAY()),1,0),""select Col2 limit 10""))"),3229.775)</f>
        <v>3229.775</v>
      </c>
      <c r="H96" s="10">
        <f>IFERROR(__xludf.DUMMYFUNCTION("AVERAGE(QUERY(SORT(GOOGLEFINANCE(B96,""price"",TODAY()-365,TODAY()),1,0),""select Col2 limit 30""))"),3374.8933333333334)</f>
        <v>3374.893333</v>
      </c>
      <c r="I96" s="10">
        <f>IFERROR(__xludf.DUMMYFUNCTION("AVERAGE(QUERY(SORT(GOOGLEFINANCE(B96,""price"",TODAY()-365,TODAY()),1,0),""select Col2 limit 60""))"),3277.902500000001)</f>
        <v>3277.9025</v>
      </c>
      <c r="J96" s="10">
        <f>IFERROR(__xludf.DUMMYFUNCTION("AVERAGE(QUERY(SORT(GOOGLEFINANCE(B96,""price"",TODAY()-365,TODAY()),1,0),""select Col2 limit 90""))"),3138.6200000000003)</f>
        <v>3138.62</v>
      </c>
      <c r="K96" s="10">
        <f>IFERROR(__xludf.DUMMYFUNCTION("AVERAGE(QUERY(SORT(GOOGLEFINANCE(B96,""price"",TODAY()-365,TODAY()),1,0),""select Col2 limit 120""))"),2975.760833333334)</f>
        <v>2975.760833</v>
      </c>
      <c r="L96" s="10">
        <f>IFERROR(__xludf.DUMMYFUNCTION("AVERAGE(QUERY(SORT(GOOGLEFINANCE(B96,""price"",TODAY()-365,TODAY()),1,0),""select Col2 limit 200""))"),2745.035000000001)</f>
        <v>2745.035</v>
      </c>
      <c r="M96" s="11" t="str">
        <f t="shared" si="2"/>
        <v>Avoid</v>
      </c>
    </row>
    <row r="97">
      <c r="A97" s="5" t="s">
        <v>108</v>
      </c>
      <c r="B97" s="6" t="str">
        <f t="shared" si="1"/>
        <v>NSE:NESTLEIND</v>
      </c>
      <c r="C97" s="7">
        <f>IFERROR(__xludf.DUMMYFUNCTION("GOOGLEFINANCE(B97,""price"")"),2251.9)</f>
        <v>2251.9</v>
      </c>
      <c r="D97" s="8">
        <f>IFERROR(__xludf.DUMMYFUNCTION("GOOGLEFINANCE(B97,""Volume"")"),372578.0)</f>
        <v>372578</v>
      </c>
      <c r="E97" s="7">
        <v>20.0</v>
      </c>
      <c r="F97" s="9" t="str">
        <f>IFERROR(__xludf.DUMMYFUNCTION("IF(D97&gt;AVERAGE(INDEX(GOOGLEFINANCE(B97,""volume"",WORKDAY(TODAY(),-$E$2),TODAY()),,2)),""Breakout"","""")"),"")</f>
        <v/>
      </c>
      <c r="G97" s="8">
        <f>IFERROR(__xludf.DUMMYFUNCTION("AVERAGE(QUERY(SORT(GOOGLEFINANCE(B97,""price"",TODAY()-365,TODAY()),1,0),""select Col2 limit 10""))"),2298.0350000000003)</f>
        <v>2298.035</v>
      </c>
      <c r="H97" s="10">
        <f>IFERROR(__xludf.DUMMYFUNCTION("AVERAGE(QUERY(SORT(GOOGLEFINANCE(B97,""price"",TODAY()-365,TODAY()),1,0),""select Col2 limit 30""))"),2504.243333333333)</f>
        <v>2504.243333</v>
      </c>
      <c r="I97" s="10">
        <f>IFERROR(__xludf.DUMMYFUNCTION("AVERAGE(QUERY(SORT(GOOGLEFINANCE(B97,""price"",TODAY()-365,TODAY()),1,0),""select Col2 limit 60""))"),2511.8266666666673)</f>
        <v>2511.826667</v>
      </c>
      <c r="J97" s="10">
        <f>IFERROR(__xludf.DUMMYFUNCTION("AVERAGE(QUERY(SORT(GOOGLEFINANCE(B97,""price"",TODAY()-365,TODAY()),1,0),""select Col2 limit 90""))"),2524.1233333333334)</f>
        <v>2524.123333</v>
      </c>
      <c r="K97" s="10">
        <f>IFERROR(__xludf.DUMMYFUNCTION("AVERAGE(QUERY(SORT(GOOGLEFINANCE(B97,""price"",TODAY()-365,TODAY()),1,0),""select Col2 limit 120""))"),2514.4908333333337)</f>
        <v>2514.490833</v>
      </c>
      <c r="L97" s="10">
        <f>IFERROR(__xludf.DUMMYFUNCTION("AVERAGE(QUERY(SORT(GOOGLEFINANCE(B97,""price"",TODAY()-365,TODAY()),1,0),""select Col2 limit 200""))"),2520.3890000000006)</f>
        <v>2520.389</v>
      </c>
      <c r="M97" s="11" t="str">
        <f t="shared" si="2"/>
        <v>Avoid</v>
      </c>
    </row>
    <row r="98">
      <c r="A98" s="5" t="s">
        <v>109</v>
      </c>
      <c r="B98" s="6" t="str">
        <f t="shared" si="1"/>
        <v>NSE:RHIM</v>
      </c>
      <c r="C98" s="7">
        <f>IFERROR(__xludf.DUMMYFUNCTION("GOOGLEFINANCE(B98,""price"")"),580.9)</f>
        <v>580.9</v>
      </c>
      <c r="D98" s="8">
        <f>IFERROR(__xludf.DUMMYFUNCTION("GOOGLEFINANCE(B98,""Volume"")"),54990.0)</f>
        <v>54990</v>
      </c>
      <c r="E98" s="7">
        <v>20.0</v>
      </c>
      <c r="F98" s="9" t="str">
        <f>IFERROR(__xludf.DUMMYFUNCTION("IF(D98&gt;AVERAGE(INDEX(GOOGLEFINANCE(B98,""volume"",WORKDAY(TODAY(),-$E$2),TODAY()),,2)),""Breakout"","""")"),"")</f>
        <v/>
      </c>
      <c r="G98" s="8">
        <f>IFERROR(__xludf.DUMMYFUNCTION("AVERAGE(QUERY(SORT(GOOGLEFINANCE(B98,""price"",TODAY()-365,TODAY()),1,0),""select Col2 limit 10""))"),580.2149999999999)</f>
        <v>580.215</v>
      </c>
      <c r="H98" s="10">
        <f>IFERROR(__xludf.DUMMYFUNCTION("AVERAGE(QUERY(SORT(GOOGLEFINANCE(B98,""price"",TODAY()-365,TODAY()),1,0),""select Col2 limit 30""))"),597.545)</f>
        <v>597.545</v>
      </c>
      <c r="I98" s="10">
        <f>IFERROR(__xludf.DUMMYFUNCTION("AVERAGE(QUERY(SORT(GOOGLEFINANCE(B98,""price"",TODAY()-365,TODAY()),1,0),""select Col2 limit 60""))"),601.1641666666667)</f>
        <v>601.1641667</v>
      </c>
      <c r="J98" s="10">
        <f>IFERROR(__xludf.DUMMYFUNCTION("AVERAGE(QUERY(SORT(GOOGLEFINANCE(B98,""price"",TODAY()-365,TODAY()),1,0),""select Col2 limit 90""))"),603.6388888888888)</f>
        <v>603.6388889</v>
      </c>
      <c r="K98" s="10">
        <f>IFERROR(__xludf.DUMMYFUNCTION("AVERAGE(QUERY(SORT(GOOGLEFINANCE(B98,""price"",TODAY()-365,TODAY()),1,0),""select Col2 limit 120""))"),620.0400000000001)</f>
        <v>620.04</v>
      </c>
      <c r="L98" s="10">
        <f>IFERROR(__xludf.DUMMYFUNCTION("AVERAGE(QUERY(SORT(GOOGLEFINANCE(B98,""price"",TODAY()-365,TODAY()),1,0),""select Col2 limit 200""))"),627.7147500000003)</f>
        <v>627.71475</v>
      </c>
      <c r="M98" s="11" t="str">
        <f t="shared" si="2"/>
        <v>Avoid</v>
      </c>
    </row>
    <row r="99">
      <c r="A99" s="5" t="s">
        <v>110</v>
      </c>
      <c r="B99" s="6" t="str">
        <f t="shared" si="1"/>
        <v>NSE:BPCL</v>
      </c>
      <c r="C99" s="7">
        <f>IFERROR(__xludf.DUMMYFUNCTION("GOOGLEFINANCE(B99,""price"")"),301.8)</f>
        <v>301.8</v>
      </c>
      <c r="D99" s="8">
        <f>IFERROR(__xludf.DUMMYFUNCTION("GOOGLEFINANCE(B99,""Volume"")"),7595719.0)</f>
        <v>7595719</v>
      </c>
      <c r="E99" s="7">
        <v>20.0</v>
      </c>
      <c r="F99" s="9" t="str">
        <f>IFERROR(__xludf.DUMMYFUNCTION("IF(D99&gt;AVERAGE(INDEX(GOOGLEFINANCE(B99,""volume"",WORKDAY(TODAY(),-$E$2),TODAY()),,2)),""Breakout"","""")"),"")</f>
        <v/>
      </c>
      <c r="G99" s="8">
        <f>IFERROR(__xludf.DUMMYFUNCTION("AVERAGE(QUERY(SORT(GOOGLEFINANCE(B99,""price"",TODAY()-365,TODAY()),1,0),""select Col2 limit 10""))"),319.17500000000007)</f>
        <v>319.175</v>
      </c>
      <c r="H99" s="10">
        <f>IFERROR(__xludf.DUMMYFUNCTION("AVERAGE(QUERY(SORT(GOOGLEFINANCE(B99,""price"",TODAY()-365,TODAY()),1,0),""select Col2 limit 30""))"),335.735)</f>
        <v>335.735</v>
      </c>
      <c r="I99" s="10">
        <f>IFERROR(__xludf.DUMMYFUNCTION("AVERAGE(QUERY(SORT(GOOGLEFINANCE(B99,""price"",TODAY()-365,TODAY()),1,0),""select Col2 limit 60""))"),340.4816666666667)</f>
        <v>340.4816667</v>
      </c>
      <c r="J99" s="10">
        <f>IFERROR(__xludf.DUMMYFUNCTION("AVERAGE(QUERY(SORT(GOOGLEFINANCE(B99,""price"",TODAY()-365,TODAY()),1,0),""select Col2 limit 90""))"),332.30388888888893)</f>
        <v>332.3038889</v>
      </c>
      <c r="K99" s="10">
        <f>IFERROR(__xludf.DUMMYFUNCTION("AVERAGE(QUERY(SORT(GOOGLEFINANCE(B99,""price"",TODAY()-365,TODAY()),1,0),""select Col2 limit 120""))"),326.9720833333334)</f>
        <v>326.9720833</v>
      </c>
      <c r="L99" s="10">
        <f>IFERROR(__xludf.DUMMYFUNCTION("AVERAGE(QUERY(SORT(GOOGLEFINANCE(B99,""price"",TODAY()-365,TODAY()),1,0),""select Col2 limit 200""))"),312.07265000000024)</f>
        <v>312.07265</v>
      </c>
      <c r="M99" s="11" t="str">
        <f t="shared" si="2"/>
        <v>Avoid</v>
      </c>
    </row>
    <row r="100">
      <c r="A100" s="5" t="s">
        <v>111</v>
      </c>
      <c r="B100" s="6" t="str">
        <f t="shared" si="1"/>
        <v>NSE:NIFTYBEES</v>
      </c>
      <c r="C100" s="7">
        <f>IFERROR(__xludf.DUMMYFUNCTION("GOOGLEFINANCE(B100,""price"")"),267.86)</f>
        <v>267.86</v>
      </c>
      <c r="D100" s="8">
        <f>IFERROR(__xludf.DUMMYFUNCTION("GOOGLEFINANCE(B100,""Volume"")"),7882442.0)</f>
        <v>7882442</v>
      </c>
      <c r="E100" s="7">
        <v>20.0</v>
      </c>
      <c r="F100" s="9" t="str">
        <f>IFERROR(__xludf.DUMMYFUNCTION("IF(D100&gt;AVERAGE(INDEX(GOOGLEFINANCE(B100,""volume"",WORKDAY(TODAY(),-$E$2),TODAY()),,2)),""Breakout"","""")"),"Breakout")</f>
        <v>Breakout</v>
      </c>
      <c r="G100" s="8">
        <f>IFERROR(__xludf.DUMMYFUNCTION("AVERAGE(QUERY(SORT(GOOGLEFINANCE(B100,""price"",TODAY()-365,TODAY()),1,0),""select Col2 limit 10""))"),273.16099999999994)</f>
        <v>273.161</v>
      </c>
      <c r="H100" s="10">
        <f>IFERROR(__xludf.DUMMYFUNCTION("AVERAGE(QUERY(SORT(GOOGLEFINANCE(B100,""price"",TODAY()-365,TODAY()),1,0),""select Col2 limit 30""))"),280.1433333333334)</f>
        <v>280.1433333</v>
      </c>
      <c r="I100" s="10">
        <f>IFERROR(__xludf.DUMMYFUNCTION("AVERAGE(QUERY(SORT(GOOGLEFINANCE(B100,""price"",TODAY()-365,TODAY()),1,0),""select Col2 limit 60""))"),278.8515000000001)</f>
        <v>278.8515</v>
      </c>
      <c r="J100" s="10">
        <f>IFERROR(__xludf.DUMMYFUNCTION("AVERAGE(QUERY(SORT(GOOGLEFINANCE(B100,""price"",TODAY()-365,TODAY()),1,0),""select Col2 limit 90""))"),276.4534444444444)</f>
        <v>276.4534444</v>
      </c>
      <c r="K100" s="10">
        <f>IFERROR(__xludf.DUMMYFUNCTION("AVERAGE(QUERY(SORT(GOOGLEFINANCE(B100,""price"",TODAY()-365,TODAY()),1,0),""select Col2 limit 120""))"),270.90524999999997)</f>
        <v>270.90525</v>
      </c>
      <c r="L100" s="10">
        <f>IFERROR(__xludf.DUMMYFUNCTION("AVERAGE(QUERY(SORT(GOOGLEFINANCE(B100,""price"",TODAY()-365,TODAY()),1,0),""select Col2 limit 200""))"),260.2836500000001)</f>
        <v>260.28365</v>
      </c>
      <c r="M100" s="11" t="str">
        <f t="shared" si="2"/>
        <v>Best for Sell Below 200 DMA</v>
      </c>
    </row>
    <row r="101">
      <c r="A101" s="5" t="s">
        <v>112</v>
      </c>
      <c r="B101" s="6" t="str">
        <f t="shared" si="1"/>
        <v>NSE:GRINDWELL</v>
      </c>
      <c r="C101" s="7">
        <f>IFERROR(__xludf.DUMMYFUNCTION("GOOGLEFINANCE(B101,""price"")"),2196.1)</f>
        <v>2196.1</v>
      </c>
      <c r="D101" s="8">
        <f>IFERROR(__xludf.DUMMYFUNCTION("GOOGLEFINANCE(B101,""Volume"")"),50089.0)</f>
        <v>50089</v>
      </c>
      <c r="E101" s="7">
        <v>20.0</v>
      </c>
      <c r="F101" s="9" t="str">
        <f>IFERROR(__xludf.DUMMYFUNCTION("IF(D101&gt;AVERAGE(INDEX(GOOGLEFINANCE(B101,""volume"",WORKDAY(TODAY(),-$E$2),TODAY()),,2)),""Breakout"","""")"),"")</f>
        <v/>
      </c>
      <c r="G101" s="8">
        <f>IFERROR(__xludf.DUMMYFUNCTION("AVERAGE(QUERY(SORT(GOOGLEFINANCE(B101,""price"",TODAY()-365,TODAY()),1,0),""select Col2 limit 10""))"),2234.8750000000005)</f>
        <v>2234.875</v>
      </c>
      <c r="H101" s="10">
        <f>IFERROR(__xludf.DUMMYFUNCTION("AVERAGE(QUERY(SORT(GOOGLEFINANCE(B101,""price"",TODAY()-365,TODAY()),1,0),""select Col2 limit 30""))"),2353.22)</f>
        <v>2353.22</v>
      </c>
      <c r="I101" s="10">
        <f>IFERROR(__xludf.DUMMYFUNCTION("AVERAGE(QUERY(SORT(GOOGLEFINANCE(B101,""price"",TODAY()-365,TODAY()),1,0),""select Col2 limit 60""))"),2397.386666666666)</f>
        <v>2397.386667</v>
      </c>
      <c r="J101" s="10">
        <f>IFERROR(__xludf.DUMMYFUNCTION("AVERAGE(QUERY(SORT(GOOGLEFINANCE(B101,""price"",TODAY()-365,TODAY()),1,0),""select Col2 limit 90""))"),2493.7838888888887)</f>
        <v>2493.783889</v>
      </c>
      <c r="K101" s="10">
        <f>IFERROR(__xludf.DUMMYFUNCTION("AVERAGE(QUERY(SORT(GOOGLEFINANCE(B101,""price"",TODAY()-365,TODAY()),1,0),""select Col2 limit 120""))"),2496.9770833333328)</f>
        <v>2496.977083</v>
      </c>
      <c r="L101" s="10">
        <f>IFERROR(__xludf.DUMMYFUNCTION("AVERAGE(QUERY(SORT(GOOGLEFINANCE(B101,""price"",TODAY()-365,TODAY()),1,0),""select Col2 limit 200""))"),2350.91725)</f>
        <v>2350.91725</v>
      </c>
      <c r="M101" s="11" t="str">
        <f t="shared" si="2"/>
        <v>Avoid</v>
      </c>
    </row>
    <row r="102">
      <c r="A102" s="5" t="s">
        <v>113</v>
      </c>
      <c r="B102" s="6" t="str">
        <f t="shared" si="1"/>
        <v>NSE:BIOCON</v>
      </c>
      <c r="C102" s="7">
        <f>IFERROR(__xludf.DUMMYFUNCTION("GOOGLEFINANCE(B102,""price"")"),311.45)</f>
        <v>311.45</v>
      </c>
      <c r="D102" s="8">
        <f>IFERROR(__xludf.DUMMYFUNCTION("GOOGLEFINANCE(B102,""Volume"")"),1960593.0)</f>
        <v>1960593</v>
      </c>
      <c r="E102" s="7">
        <v>20.0</v>
      </c>
      <c r="F102" s="9" t="str">
        <f>IFERROR(__xludf.DUMMYFUNCTION("IF(D102&gt;AVERAGE(INDEX(GOOGLEFINANCE(B102,""volume"",WORKDAY(TODAY(),-$E$2),TODAY()),,2)),""Breakout"","""")"),"")</f>
        <v/>
      </c>
      <c r="G102" s="8">
        <f>IFERROR(__xludf.DUMMYFUNCTION("AVERAGE(QUERY(SORT(GOOGLEFINANCE(B102,""price"",TODAY()-365,TODAY()),1,0),""select Col2 limit 10""))"),325.05499999999995)</f>
        <v>325.055</v>
      </c>
      <c r="H102" s="10">
        <f>IFERROR(__xludf.DUMMYFUNCTION("AVERAGE(QUERY(SORT(GOOGLEFINANCE(B102,""price"",TODAY()-365,TODAY()),1,0),""select Col2 limit 30""))"),345.9833333333334)</f>
        <v>345.9833333</v>
      </c>
      <c r="I102" s="10">
        <f>IFERROR(__xludf.DUMMYFUNCTION("AVERAGE(QUERY(SORT(GOOGLEFINANCE(B102,""price"",TODAY()-365,TODAY()),1,0),""select Col2 limit 60""))"),352.9150000000001)</f>
        <v>352.915</v>
      </c>
      <c r="J102" s="10">
        <f>IFERROR(__xludf.DUMMYFUNCTION("AVERAGE(QUERY(SORT(GOOGLEFINANCE(B102,""price"",TODAY()-365,TODAY()),1,0),""select Col2 limit 90""))"),353.0516666666668)</f>
        <v>353.0516667</v>
      </c>
      <c r="K102" s="10">
        <f>IFERROR(__xludf.DUMMYFUNCTION("AVERAGE(QUERY(SORT(GOOGLEFINANCE(B102,""price"",TODAY()-365,TODAY()),1,0),""select Col2 limit 120""))"),345.0304166666667)</f>
        <v>345.0304167</v>
      </c>
      <c r="L102" s="10">
        <f>IFERROR(__xludf.DUMMYFUNCTION("AVERAGE(QUERY(SORT(GOOGLEFINANCE(B102,""price"",TODAY()-365,TODAY()),1,0),""select Col2 limit 200""))"),317.17349999999993)</f>
        <v>317.1735</v>
      </c>
      <c r="M102" s="11" t="str">
        <f t="shared" si="2"/>
        <v>Avoid</v>
      </c>
    </row>
    <row r="103">
      <c r="F103" s="12"/>
      <c r="M103" s="12"/>
    </row>
    <row r="104">
      <c r="A104" s="13" t="s">
        <v>114</v>
      </c>
      <c r="F104" s="12"/>
      <c r="M104" s="12"/>
    </row>
    <row r="105">
      <c r="A105" s="14"/>
      <c r="F105" s="12"/>
      <c r="M105" s="12"/>
    </row>
    <row r="106">
      <c r="A106" s="15"/>
      <c r="F106" s="12"/>
      <c r="M106" s="12"/>
    </row>
    <row r="107">
      <c r="A107" s="15"/>
      <c r="F107" s="12"/>
      <c r="M107" s="12"/>
    </row>
    <row r="108">
      <c r="A108" s="15"/>
      <c r="F108" s="12"/>
      <c r="M108" s="12"/>
    </row>
    <row r="109">
      <c r="A109" s="16"/>
      <c r="F109" s="12"/>
      <c r="M109" s="12"/>
    </row>
    <row r="110">
      <c r="A110" s="15"/>
      <c r="F110" s="12"/>
      <c r="M110" s="12"/>
    </row>
    <row r="111">
      <c r="A111" s="15"/>
      <c r="F111" s="12"/>
      <c r="M111" s="12"/>
    </row>
    <row r="112">
      <c r="A112" s="15"/>
      <c r="F112" s="12"/>
      <c r="M112" s="12"/>
    </row>
    <row r="113">
      <c r="A113" s="15"/>
      <c r="F113" s="12"/>
      <c r="M113" s="12"/>
    </row>
    <row r="114">
      <c r="A114" s="15"/>
      <c r="F114" s="12"/>
      <c r="M114" s="12"/>
    </row>
    <row r="115">
      <c r="A115" s="15"/>
      <c r="F115" s="12"/>
      <c r="M115" s="12"/>
    </row>
    <row r="116">
      <c r="A116" s="15"/>
      <c r="F116" s="12"/>
      <c r="M116" s="12"/>
    </row>
    <row r="117">
      <c r="A117" s="15"/>
      <c r="F117" s="12"/>
      <c r="M117" s="12"/>
    </row>
    <row r="118">
      <c r="A118" s="15"/>
      <c r="F118" s="12"/>
      <c r="M118" s="12"/>
    </row>
    <row r="119">
      <c r="A119" s="15"/>
      <c r="F119" s="12"/>
      <c r="M119" s="12"/>
    </row>
    <row r="120">
      <c r="A120" s="15"/>
      <c r="F120" s="12"/>
      <c r="M120" s="12"/>
    </row>
    <row r="121">
      <c r="A121" s="15"/>
      <c r="F121" s="12"/>
      <c r="M121" s="12"/>
    </row>
    <row r="122">
      <c r="A122" s="15"/>
      <c r="F122" s="12"/>
      <c r="M122" s="12"/>
    </row>
    <row r="123">
      <c r="A123" s="15"/>
      <c r="F123" s="12"/>
      <c r="M123" s="12"/>
    </row>
    <row r="124">
      <c r="A124" s="15"/>
      <c r="F124" s="12"/>
      <c r="M124" s="12"/>
    </row>
    <row r="125">
      <c r="A125" s="15"/>
      <c r="F125" s="12"/>
      <c r="M125" s="12"/>
    </row>
    <row r="126">
      <c r="A126" s="15"/>
      <c r="F126" s="12"/>
      <c r="M126" s="12"/>
    </row>
    <row r="127">
      <c r="A127" s="15"/>
      <c r="F127" s="12"/>
      <c r="M127" s="12"/>
    </row>
    <row r="128">
      <c r="F128" s="12"/>
      <c r="M128" s="12"/>
    </row>
    <row r="129">
      <c r="F129" s="12"/>
      <c r="M129" s="12"/>
    </row>
    <row r="130">
      <c r="F130" s="12"/>
      <c r="M130" s="12"/>
    </row>
    <row r="131">
      <c r="F131" s="12"/>
      <c r="M131" s="12"/>
    </row>
    <row r="132">
      <c r="F132" s="12"/>
      <c r="M132" s="12"/>
    </row>
    <row r="133">
      <c r="F133" s="12"/>
      <c r="M133" s="12"/>
    </row>
    <row r="134">
      <c r="F134" s="12"/>
      <c r="M134" s="12"/>
    </row>
    <row r="135">
      <c r="F135" s="12"/>
      <c r="M135" s="12"/>
    </row>
    <row r="136">
      <c r="F136" s="12"/>
      <c r="M136" s="12"/>
    </row>
    <row r="137">
      <c r="F137" s="12"/>
      <c r="M137" s="12"/>
    </row>
    <row r="138">
      <c r="F138" s="12"/>
      <c r="M138" s="12"/>
    </row>
    <row r="139">
      <c r="F139" s="12"/>
      <c r="M139" s="12"/>
    </row>
    <row r="140">
      <c r="F140" s="12"/>
      <c r="M140" s="12"/>
    </row>
    <row r="141">
      <c r="F141" s="12"/>
      <c r="M141" s="12"/>
    </row>
    <row r="142">
      <c r="F142" s="12"/>
      <c r="M142" s="12"/>
    </row>
    <row r="143">
      <c r="F143" s="12"/>
      <c r="M143" s="12"/>
    </row>
    <row r="144">
      <c r="F144" s="12"/>
      <c r="M144" s="12"/>
    </row>
    <row r="145">
      <c r="F145" s="12"/>
      <c r="M145" s="12"/>
    </row>
    <row r="146">
      <c r="F146" s="12"/>
      <c r="M146" s="12"/>
    </row>
    <row r="147">
      <c r="F147" s="12"/>
      <c r="M147" s="12"/>
    </row>
    <row r="148">
      <c r="F148" s="12"/>
      <c r="M148" s="12"/>
    </row>
    <row r="149">
      <c r="F149" s="12"/>
      <c r="M149" s="12"/>
    </row>
    <row r="150">
      <c r="F150" s="12"/>
      <c r="M150" s="12"/>
    </row>
    <row r="151">
      <c r="F151" s="12"/>
      <c r="M151" s="12"/>
    </row>
    <row r="152">
      <c r="F152" s="12"/>
      <c r="M152" s="12"/>
    </row>
    <row r="153">
      <c r="F153" s="12"/>
      <c r="M153" s="12"/>
    </row>
    <row r="154">
      <c r="F154" s="12"/>
      <c r="M154" s="12"/>
    </row>
    <row r="155">
      <c r="F155" s="12"/>
      <c r="M155" s="12"/>
    </row>
    <row r="156">
      <c r="F156" s="12"/>
      <c r="M156" s="12"/>
    </row>
    <row r="157">
      <c r="F157" s="12"/>
      <c r="M157" s="12"/>
    </row>
    <row r="158">
      <c r="F158" s="12"/>
      <c r="M158" s="12"/>
    </row>
    <row r="159">
      <c r="F159" s="12"/>
      <c r="M159" s="12"/>
    </row>
    <row r="160">
      <c r="F160" s="12"/>
      <c r="M160" s="12"/>
    </row>
    <row r="161">
      <c r="F161" s="12"/>
      <c r="M161" s="12"/>
    </row>
    <row r="162">
      <c r="F162" s="12"/>
      <c r="M162" s="12"/>
    </row>
    <row r="163">
      <c r="F163" s="12"/>
      <c r="M163" s="12"/>
    </row>
    <row r="164">
      <c r="F164" s="12"/>
      <c r="M164" s="12"/>
    </row>
    <row r="165">
      <c r="F165" s="12"/>
      <c r="M165" s="12"/>
    </row>
    <row r="166">
      <c r="F166" s="12"/>
      <c r="M166" s="12"/>
    </row>
    <row r="167">
      <c r="F167" s="12"/>
      <c r="M167" s="12"/>
    </row>
    <row r="168">
      <c r="F168" s="12"/>
      <c r="M168" s="12"/>
    </row>
    <row r="169">
      <c r="F169" s="12"/>
      <c r="M169" s="12"/>
    </row>
    <row r="170">
      <c r="F170" s="12"/>
      <c r="M170" s="12"/>
    </row>
    <row r="171">
      <c r="F171" s="12"/>
      <c r="M171" s="12"/>
    </row>
    <row r="172">
      <c r="F172" s="12"/>
      <c r="M172" s="12"/>
    </row>
    <row r="173">
      <c r="F173" s="12"/>
      <c r="M173" s="12"/>
    </row>
    <row r="174">
      <c r="F174" s="12"/>
      <c r="M174" s="12"/>
    </row>
    <row r="175">
      <c r="F175" s="12"/>
      <c r="M175" s="12"/>
    </row>
    <row r="176">
      <c r="F176" s="12"/>
      <c r="M176" s="12"/>
    </row>
    <row r="177">
      <c r="F177" s="12"/>
      <c r="M177" s="12"/>
    </row>
    <row r="178">
      <c r="F178" s="12"/>
      <c r="M178" s="12"/>
    </row>
    <row r="179">
      <c r="F179" s="12"/>
      <c r="M179" s="12"/>
    </row>
    <row r="180">
      <c r="F180" s="12"/>
      <c r="M180" s="12"/>
    </row>
    <row r="181">
      <c r="F181" s="12"/>
      <c r="M181" s="12"/>
    </row>
    <row r="182">
      <c r="F182" s="12"/>
      <c r="M182" s="12"/>
    </row>
    <row r="183">
      <c r="F183" s="12"/>
      <c r="M183" s="12"/>
    </row>
    <row r="184">
      <c r="F184" s="12"/>
      <c r="M184" s="12"/>
    </row>
    <row r="185">
      <c r="F185" s="12"/>
      <c r="M185" s="12"/>
    </row>
    <row r="186">
      <c r="F186" s="12"/>
      <c r="M186" s="12"/>
    </row>
    <row r="187">
      <c r="F187" s="12"/>
      <c r="M187" s="12"/>
    </row>
    <row r="188">
      <c r="F188" s="12"/>
      <c r="M188" s="12"/>
    </row>
    <row r="189">
      <c r="F189" s="12"/>
      <c r="M189" s="12"/>
    </row>
    <row r="190">
      <c r="F190" s="12"/>
      <c r="M190" s="12"/>
    </row>
    <row r="191">
      <c r="F191" s="12"/>
      <c r="M191" s="12"/>
    </row>
    <row r="192">
      <c r="F192" s="12"/>
      <c r="M192" s="12"/>
    </row>
    <row r="193">
      <c r="F193" s="12"/>
      <c r="M193" s="12"/>
    </row>
    <row r="194">
      <c r="F194" s="12"/>
      <c r="M194" s="12"/>
    </row>
    <row r="195">
      <c r="F195" s="12"/>
      <c r="M195" s="12"/>
    </row>
    <row r="196">
      <c r="F196" s="12"/>
      <c r="M196" s="12"/>
    </row>
    <row r="197">
      <c r="F197" s="12"/>
      <c r="M197" s="12"/>
    </row>
    <row r="198">
      <c r="F198" s="12"/>
      <c r="M198" s="12"/>
    </row>
    <row r="199">
      <c r="F199" s="12"/>
      <c r="M199" s="12"/>
    </row>
    <row r="200">
      <c r="F200" s="12"/>
      <c r="M200" s="12"/>
    </row>
    <row r="201">
      <c r="F201" s="12"/>
      <c r="M201" s="12"/>
    </row>
    <row r="202">
      <c r="F202" s="12"/>
      <c r="M202" s="12"/>
    </row>
    <row r="203">
      <c r="F203" s="12"/>
      <c r="M203" s="12"/>
    </row>
    <row r="204">
      <c r="F204" s="12"/>
      <c r="M204" s="12"/>
    </row>
    <row r="205">
      <c r="F205" s="12"/>
      <c r="M205" s="12"/>
    </row>
    <row r="206">
      <c r="F206" s="12"/>
      <c r="M206" s="12"/>
    </row>
    <row r="207">
      <c r="F207" s="12"/>
      <c r="M207" s="12"/>
    </row>
    <row r="208">
      <c r="F208" s="12"/>
      <c r="M208" s="12"/>
    </row>
    <row r="209">
      <c r="F209" s="12"/>
      <c r="M209" s="12"/>
    </row>
    <row r="210">
      <c r="F210" s="12"/>
      <c r="M210" s="12"/>
    </row>
    <row r="211">
      <c r="F211" s="12"/>
      <c r="M211" s="12"/>
    </row>
    <row r="212">
      <c r="F212" s="12"/>
      <c r="M212" s="12"/>
    </row>
    <row r="213">
      <c r="F213" s="12"/>
      <c r="M213" s="12"/>
    </row>
    <row r="214">
      <c r="F214" s="12"/>
      <c r="M214" s="12"/>
    </row>
    <row r="215">
      <c r="F215" s="12"/>
      <c r="M215" s="12"/>
    </row>
    <row r="216">
      <c r="F216" s="12"/>
      <c r="M216" s="12"/>
    </row>
    <row r="217">
      <c r="F217" s="12"/>
      <c r="M217" s="12"/>
    </row>
    <row r="218">
      <c r="F218" s="12"/>
      <c r="M218" s="12"/>
    </row>
    <row r="219">
      <c r="F219" s="12"/>
      <c r="M219" s="12"/>
    </row>
    <row r="220">
      <c r="F220" s="12"/>
      <c r="M220" s="12"/>
    </row>
    <row r="221">
      <c r="F221" s="12"/>
      <c r="M221" s="12"/>
    </row>
    <row r="222">
      <c r="F222" s="12"/>
      <c r="M222" s="12"/>
    </row>
    <row r="223">
      <c r="F223" s="12"/>
      <c r="M223" s="12"/>
    </row>
    <row r="224">
      <c r="F224" s="12"/>
      <c r="M224" s="12"/>
    </row>
    <row r="225">
      <c r="F225" s="12"/>
      <c r="M225" s="12"/>
    </row>
    <row r="226">
      <c r="F226" s="12"/>
      <c r="M226" s="12"/>
    </row>
    <row r="227">
      <c r="F227" s="12"/>
      <c r="M227" s="12"/>
    </row>
    <row r="228">
      <c r="F228" s="12"/>
      <c r="M228" s="12"/>
    </row>
    <row r="229">
      <c r="F229" s="12"/>
      <c r="M229" s="12"/>
    </row>
    <row r="230">
      <c r="F230" s="12"/>
      <c r="M230" s="12"/>
    </row>
    <row r="231">
      <c r="F231" s="12"/>
      <c r="M231" s="12"/>
    </row>
    <row r="232">
      <c r="F232" s="12"/>
      <c r="M232" s="12"/>
    </row>
    <row r="233">
      <c r="F233" s="12"/>
      <c r="M233" s="12"/>
    </row>
    <row r="234">
      <c r="F234" s="12"/>
      <c r="M234" s="12"/>
    </row>
    <row r="235">
      <c r="F235" s="12"/>
      <c r="M235" s="12"/>
    </row>
    <row r="236">
      <c r="F236" s="12"/>
      <c r="M236" s="12"/>
    </row>
    <row r="237">
      <c r="F237" s="12"/>
      <c r="M237" s="12"/>
    </row>
    <row r="238">
      <c r="F238" s="12"/>
      <c r="M238" s="12"/>
    </row>
    <row r="239">
      <c r="F239" s="12"/>
      <c r="M239" s="12"/>
    </row>
    <row r="240">
      <c r="F240" s="12"/>
      <c r="M240" s="12"/>
    </row>
    <row r="241">
      <c r="F241" s="12"/>
      <c r="M241" s="12"/>
    </row>
    <row r="242">
      <c r="F242" s="12"/>
      <c r="M242" s="12"/>
    </row>
    <row r="243">
      <c r="F243" s="12"/>
      <c r="M243" s="12"/>
    </row>
    <row r="244">
      <c r="F244" s="12"/>
      <c r="M244" s="12"/>
    </row>
    <row r="245">
      <c r="F245" s="12"/>
      <c r="M245" s="12"/>
    </row>
    <row r="246">
      <c r="F246" s="12"/>
      <c r="M246" s="12"/>
    </row>
    <row r="247">
      <c r="F247" s="12"/>
      <c r="M247" s="12"/>
    </row>
    <row r="248">
      <c r="F248" s="12"/>
      <c r="M248" s="12"/>
    </row>
    <row r="249">
      <c r="F249" s="12"/>
      <c r="M249" s="12"/>
    </row>
    <row r="250">
      <c r="F250" s="12"/>
      <c r="M250" s="12"/>
    </row>
    <row r="251">
      <c r="F251" s="12"/>
      <c r="M251" s="12"/>
    </row>
    <row r="252">
      <c r="F252" s="12"/>
      <c r="M252" s="12"/>
    </row>
    <row r="253">
      <c r="F253" s="12"/>
      <c r="M253" s="12"/>
    </row>
    <row r="254">
      <c r="F254" s="12"/>
      <c r="M254" s="12"/>
    </row>
    <row r="255">
      <c r="F255" s="12"/>
      <c r="M255" s="12"/>
    </row>
    <row r="256">
      <c r="F256" s="12"/>
      <c r="M256" s="12"/>
    </row>
    <row r="257">
      <c r="F257" s="12"/>
      <c r="M257" s="12"/>
    </row>
    <row r="258">
      <c r="F258" s="12"/>
      <c r="M258" s="12"/>
    </row>
    <row r="259">
      <c r="F259" s="12"/>
      <c r="M259" s="12"/>
    </row>
    <row r="260">
      <c r="F260" s="12"/>
      <c r="M260" s="12"/>
    </row>
    <row r="261">
      <c r="F261" s="12"/>
      <c r="M261" s="12"/>
    </row>
    <row r="262">
      <c r="F262" s="12"/>
      <c r="M262" s="12"/>
    </row>
    <row r="263">
      <c r="F263" s="12"/>
      <c r="M263" s="12"/>
    </row>
    <row r="264">
      <c r="F264" s="12"/>
      <c r="M264" s="12"/>
    </row>
    <row r="265">
      <c r="F265" s="12"/>
      <c r="M265" s="12"/>
    </row>
    <row r="266">
      <c r="F266" s="12"/>
      <c r="M266" s="12"/>
    </row>
    <row r="267">
      <c r="F267" s="12"/>
      <c r="M267" s="12"/>
    </row>
    <row r="268">
      <c r="F268" s="12"/>
      <c r="M268" s="12"/>
    </row>
    <row r="269">
      <c r="F269" s="12"/>
      <c r="M269" s="12"/>
    </row>
    <row r="270">
      <c r="F270" s="12"/>
      <c r="M270" s="12"/>
    </row>
    <row r="271">
      <c r="F271" s="12"/>
      <c r="M271" s="12"/>
    </row>
    <row r="272">
      <c r="F272" s="12"/>
      <c r="M272" s="12"/>
    </row>
    <row r="273">
      <c r="F273" s="12"/>
      <c r="M273" s="12"/>
    </row>
    <row r="274">
      <c r="F274" s="12"/>
      <c r="M274" s="12"/>
    </row>
    <row r="275">
      <c r="F275" s="12"/>
      <c r="M275" s="12"/>
    </row>
    <row r="276">
      <c r="F276" s="12"/>
      <c r="M276" s="12"/>
    </row>
    <row r="277">
      <c r="F277" s="12"/>
      <c r="M277" s="12"/>
    </row>
    <row r="278">
      <c r="F278" s="12"/>
      <c r="M278" s="12"/>
    </row>
    <row r="279">
      <c r="F279" s="12"/>
      <c r="M279" s="12"/>
    </row>
    <row r="280">
      <c r="F280" s="12"/>
      <c r="M280" s="12"/>
    </row>
    <row r="281">
      <c r="F281" s="12"/>
      <c r="M281" s="12"/>
    </row>
    <row r="282">
      <c r="F282" s="12"/>
      <c r="M282" s="12"/>
    </row>
    <row r="283">
      <c r="F283" s="12"/>
      <c r="M283" s="12"/>
    </row>
    <row r="284">
      <c r="F284" s="12"/>
      <c r="M284" s="12"/>
    </row>
    <row r="285">
      <c r="F285" s="12"/>
      <c r="M285" s="12"/>
    </row>
    <row r="286">
      <c r="F286" s="12"/>
      <c r="M286" s="12"/>
    </row>
    <row r="287">
      <c r="F287" s="12"/>
      <c r="M287" s="12"/>
    </row>
    <row r="288">
      <c r="F288" s="12"/>
      <c r="M288" s="12"/>
    </row>
    <row r="289">
      <c r="F289" s="12"/>
      <c r="M289" s="12"/>
    </row>
    <row r="290">
      <c r="F290" s="12"/>
      <c r="M290" s="12"/>
    </row>
    <row r="291">
      <c r="F291" s="12"/>
      <c r="M291" s="12"/>
    </row>
    <row r="292">
      <c r="F292" s="12"/>
      <c r="M292" s="12"/>
    </row>
    <row r="293">
      <c r="F293" s="12"/>
      <c r="M293" s="12"/>
    </row>
    <row r="294">
      <c r="F294" s="12"/>
      <c r="M294" s="12"/>
    </row>
    <row r="295">
      <c r="F295" s="12"/>
      <c r="M295" s="12"/>
    </row>
    <row r="296">
      <c r="F296" s="12"/>
      <c r="M296" s="12"/>
    </row>
    <row r="297">
      <c r="F297" s="12"/>
      <c r="M297" s="12"/>
    </row>
    <row r="298">
      <c r="F298" s="12"/>
      <c r="M298" s="12"/>
    </row>
    <row r="299">
      <c r="F299" s="12"/>
      <c r="M299" s="12"/>
    </row>
    <row r="300">
      <c r="F300" s="12"/>
      <c r="M300" s="12"/>
    </row>
    <row r="301">
      <c r="F301" s="12"/>
      <c r="M301" s="12"/>
    </row>
    <row r="302">
      <c r="F302" s="12"/>
      <c r="M302" s="12"/>
    </row>
    <row r="303">
      <c r="F303" s="12"/>
      <c r="M303" s="12"/>
    </row>
    <row r="304">
      <c r="F304" s="12"/>
      <c r="M304" s="12"/>
    </row>
    <row r="305">
      <c r="F305" s="12"/>
      <c r="M305" s="12"/>
    </row>
    <row r="306">
      <c r="F306" s="12"/>
      <c r="M306" s="12"/>
    </row>
    <row r="307">
      <c r="F307" s="12"/>
      <c r="M307" s="12"/>
    </row>
    <row r="308">
      <c r="F308" s="12"/>
      <c r="M308" s="12"/>
    </row>
    <row r="309">
      <c r="F309" s="12"/>
      <c r="M309" s="12"/>
    </row>
    <row r="310">
      <c r="F310" s="12"/>
      <c r="M310" s="12"/>
    </row>
    <row r="311">
      <c r="F311" s="12"/>
      <c r="M311" s="12"/>
    </row>
    <row r="312">
      <c r="F312" s="12"/>
      <c r="M312" s="12"/>
    </row>
    <row r="313">
      <c r="F313" s="12"/>
      <c r="M313" s="12"/>
    </row>
    <row r="314">
      <c r="F314" s="12"/>
      <c r="M314" s="12"/>
    </row>
    <row r="315">
      <c r="F315" s="12"/>
      <c r="M315" s="12"/>
    </row>
    <row r="316">
      <c r="F316" s="12"/>
      <c r="M316" s="12"/>
    </row>
    <row r="317">
      <c r="F317" s="12"/>
      <c r="M317" s="12"/>
    </row>
    <row r="318">
      <c r="F318" s="12"/>
      <c r="M318" s="12"/>
    </row>
    <row r="319">
      <c r="F319" s="12"/>
      <c r="M319" s="12"/>
    </row>
    <row r="320">
      <c r="F320" s="12"/>
      <c r="M320" s="12"/>
    </row>
    <row r="321">
      <c r="F321" s="12"/>
      <c r="M321" s="12"/>
    </row>
    <row r="322">
      <c r="F322" s="12"/>
      <c r="M322" s="12"/>
    </row>
    <row r="323">
      <c r="F323" s="12"/>
      <c r="M323" s="12"/>
    </row>
    <row r="324">
      <c r="F324" s="12"/>
      <c r="M324" s="12"/>
    </row>
    <row r="325">
      <c r="F325" s="12"/>
      <c r="M325" s="12"/>
    </row>
    <row r="326">
      <c r="F326" s="12"/>
      <c r="M326" s="12"/>
    </row>
    <row r="327">
      <c r="F327" s="12"/>
      <c r="M327" s="12"/>
    </row>
    <row r="328">
      <c r="F328" s="12"/>
      <c r="M328" s="12"/>
    </row>
    <row r="329">
      <c r="F329" s="12"/>
      <c r="M329" s="12"/>
    </row>
    <row r="330">
      <c r="F330" s="12"/>
      <c r="M330" s="12"/>
    </row>
    <row r="331">
      <c r="F331" s="12"/>
      <c r="M331" s="12"/>
    </row>
    <row r="332">
      <c r="F332" s="12"/>
      <c r="M332" s="12"/>
    </row>
    <row r="333">
      <c r="F333" s="12"/>
      <c r="M333" s="12"/>
    </row>
    <row r="334">
      <c r="F334" s="12"/>
      <c r="M334" s="12"/>
    </row>
    <row r="335">
      <c r="F335" s="12"/>
      <c r="M335" s="12"/>
    </row>
    <row r="336">
      <c r="F336" s="12"/>
      <c r="M336" s="12"/>
    </row>
    <row r="337">
      <c r="F337" s="12"/>
      <c r="M337" s="12"/>
    </row>
    <row r="338">
      <c r="F338" s="12"/>
      <c r="M338" s="12"/>
    </row>
    <row r="339">
      <c r="F339" s="12"/>
      <c r="M339" s="12"/>
    </row>
    <row r="340">
      <c r="F340" s="12"/>
      <c r="M340" s="12"/>
    </row>
    <row r="341">
      <c r="F341" s="12"/>
      <c r="M341" s="12"/>
    </row>
    <row r="342">
      <c r="F342" s="12"/>
      <c r="M342" s="12"/>
    </row>
    <row r="343">
      <c r="F343" s="12"/>
      <c r="M343" s="12"/>
    </row>
    <row r="344">
      <c r="F344" s="12"/>
      <c r="M344" s="12"/>
    </row>
    <row r="345">
      <c r="F345" s="12"/>
      <c r="M345" s="12"/>
    </row>
    <row r="346">
      <c r="F346" s="12"/>
      <c r="M346" s="12"/>
    </row>
    <row r="347">
      <c r="F347" s="12"/>
      <c r="M347" s="12"/>
    </row>
    <row r="348">
      <c r="F348" s="12"/>
      <c r="M348" s="12"/>
    </row>
    <row r="349">
      <c r="F349" s="12"/>
      <c r="M349" s="12"/>
    </row>
    <row r="350">
      <c r="F350" s="12"/>
      <c r="M350" s="12"/>
    </row>
    <row r="351">
      <c r="F351" s="12"/>
      <c r="M351" s="12"/>
    </row>
    <row r="352">
      <c r="F352" s="12"/>
      <c r="M352" s="12"/>
    </row>
    <row r="353">
      <c r="F353" s="12"/>
      <c r="M353" s="12"/>
    </row>
    <row r="354">
      <c r="F354" s="12"/>
      <c r="M354" s="12"/>
    </row>
    <row r="355">
      <c r="F355" s="12"/>
      <c r="M355" s="12"/>
    </row>
    <row r="356">
      <c r="F356" s="12"/>
      <c r="M356" s="12"/>
    </row>
    <row r="357">
      <c r="F357" s="12"/>
      <c r="M357" s="12"/>
    </row>
    <row r="358">
      <c r="F358" s="12"/>
      <c r="M358" s="12"/>
    </row>
    <row r="359">
      <c r="F359" s="12"/>
      <c r="M359" s="12"/>
    </row>
    <row r="360">
      <c r="F360" s="12"/>
      <c r="M360" s="12"/>
    </row>
    <row r="361">
      <c r="F361" s="12"/>
      <c r="M361" s="12"/>
    </row>
    <row r="362">
      <c r="F362" s="12"/>
      <c r="M362" s="12"/>
    </row>
    <row r="363">
      <c r="F363" s="12"/>
      <c r="M363" s="12"/>
    </row>
    <row r="364">
      <c r="F364" s="12"/>
      <c r="M364" s="12"/>
    </row>
    <row r="365">
      <c r="F365" s="12"/>
      <c r="M365" s="12"/>
    </row>
    <row r="366">
      <c r="F366" s="12"/>
      <c r="M366" s="12"/>
    </row>
    <row r="367">
      <c r="F367" s="12"/>
      <c r="M367" s="12"/>
    </row>
    <row r="368">
      <c r="F368" s="12"/>
      <c r="M368" s="12"/>
    </row>
    <row r="369">
      <c r="F369" s="12"/>
      <c r="M369" s="12"/>
    </row>
    <row r="370">
      <c r="F370" s="12"/>
      <c r="M370" s="12"/>
    </row>
    <row r="371">
      <c r="F371" s="12"/>
      <c r="M371" s="12"/>
    </row>
    <row r="372">
      <c r="F372" s="12"/>
      <c r="M372" s="12"/>
    </row>
    <row r="373">
      <c r="F373" s="12"/>
      <c r="M373" s="12"/>
    </row>
    <row r="374">
      <c r="F374" s="12"/>
      <c r="M374" s="12"/>
    </row>
    <row r="375">
      <c r="F375" s="12"/>
      <c r="M375" s="12"/>
    </row>
    <row r="376">
      <c r="F376" s="12"/>
      <c r="M376" s="12"/>
    </row>
    <row r="377">
      <c r="F377" s="12"/>
      <c r="M377" s="12"/>
    </row>
    <row r="378">
      <c r="F378" s="12"/>
      <c r="M378" s="12"/>
    </row>
    <row r="379">
      <c r="F379" s="12"/>
      <c r="M379" s="12"/>
    </row>
    <row r="380">
      <c r="F380" s="12"/>
      <c r="M380" s="12"/>
    </row>
    <row r="381">
      <c r="F381" s="12"/>
      <c r="M381" s="12"/>
    </row>
    <row r="382">
      <c r="F382" s="12"/>
      <c r="M382" s="12"/>
    </row>
    <row r="383">
      <c r="F383" s="12"/>
      <c r="M383" s="12"/>
    </row>
    <row r="384">
      <c r="F384" s="12"/>
      <c r="M384" s="12"/>
    </row>
    <row r="385">
      <c r="F385" s="12"/>
      <c r="M385" s="12"/>
    </row>
    <row r="386">
      <c r="F386" s="12"/>
      <c r="M386" s="12"/>
    </row>
    <row r="387">
      <c r="F387" s="12"/>
      <c r="M387" s="12"/>
    </row>
    <row r="388">
      <c r="F388" s="12"/>
      <c r="M388" s="12"/>
    </row>
    <row r="389">
      <c r="F389" s="12"/>
      <c r="M389" s="12"/>
    </row>
    <row r="390">
      <c r="F390" s="12"/>
      <c r="M390" s="12"/>
    </row>
    <row r="391">
      <c r="F391" s="12"/>
      <c r="M391" s="12"/>
    </row>
    <row r="392">
      <c r="F392" s="12"/>
      <c r="M392" s="12"/>
    </row>
    <row r="393">
      <c r="F393" s="12"/>
      <c r="M393" s="12"/>
    </row>
    <row r="394">
      <c r="F394" s="12"/>
      <c r="M394" s="12"/>
    </row>
    <row r="395">
      <c r="F395" s="12"/>
      <c r="M395" s="12"/>
    </row>
    <row r="396">
      <c r="F396" s="12"/>
      <c r="M396" s="12"/>
    </row>
    <row r="397">
      <c r="F397" s="12"/>
      <c r="M397" s="12"/>
    </row>
    <row r="398">
      <c r="F398" s="12"/>
      <c r="M398" s="12"/>
    </row>
    <row r="399">
      <c r="F399" s="12"/>
      <c r="M399" s="12"/>
    </row>
    <row r="400">
      <c r="F400" s="12"/>
      <c r="M400" s="12"/>
    </row>
    <row r="401">
      <c r="F401" s="12"/>
      <c r="M401" s="12"/>
    </row>
    <row r="402">
      <c r="F402" s="12"/>
      <c r="M402" s="12"/>
    </row>
    <row r="403">
      <c r="F403" s="12"/>
      <c r="M403" s="12"/>
    </row>
    <row r="404">
      <c r="F404" s="12"/>
      <c r="M404" s="12"/>
    </row>
    <row r="405">
      <c r="F405" s="12"/>
      <c r="M405" s="12"/>
    </row>
    <row r="406">
      <c r="F406" s="12"/>
      <c r="M406" s="12"/>
    </row>
    <row r="407">
      <c r="F407" s="12"/>
      <c r="M407" s="12"/>
    </row>
    <row r="408">
      <c r="F408" s="12"/>
      <c r="M408" s="12"/>
    </row>
    <row r="409">
      <c r="F409" s="12"/>
      <c r="M409" s="12"/>
    </row>
    <row r="410">
      <c r="F410" s="12"/>
      <c r="M410" s="12"/>
    </row>
    <row r="411">
      <c r="F411" s="12"/>
      <c r="M411" s="12"/>
    </row>
    <row r="412">
      <c r="F412" s="12"/>
      <c r="M412" s="12"/>
    </row>
    <row r="413">
      <c r="F413" s="12"/>
      <c r="M413" s="12"/>
    </row>
    <row r="414">
      <c r="F414" s="12"/>
      <c r="M414" s="12"/>
    </row>
    <row r="415">
      <c r="F415" s="12"/>
      <c r="M415" s="12"/>
    </row>
    <row r="416">
      <c r="F416" s="12"/>
      <c r="M416" s="12"/>
    </row>
    <row r="417">
      <c r="F417" s="12"/>
      <c r="M417" s="12"/>
    </row>
    <row r="418">
      <c r="F418" s="12"/>
      <c r="M418" s="12"/>
    </row>
    <row r="419">
      <c r="F419" s="12"/>
      <c r="M419" s="12"/>
    </row>
    <row r="420">
      <c r="F420" s="12"/>
      <c r="M420" s="12"/>
    </row>
    <row r="421">
      <c r="F421" s="12"/>
      <c r="M421" s="12"/>
    </row>
    <row r="422">
      <c r="F422" s="12"/>
      <c r="M422" s="12"/>
    </row>
    <row r="423">
      <c r="F423" s="12"/>
      <c r="M423" s="12"/>
    </row>
    <row r="424">
      <c r="F424" s="12"/>
      <c r="M424" s="12"/>
    </row>
    <row r="425">
      <c r="F425" s="12"/>
      <c r="M425" s="12"/>
    </row>
    <row r="426">
      <c r="F426" s="12"/>
      <c r="M426" s="12"/>
    </row>
    <row r="427">
      <c r="F427" s="12"/>
      <c r="M427" s="12"/>
    </row>
    <row r="428">
      <c r="F428" s="12"/>
      <c r="M428" s="12"/>
    </row>
    <row r="429">
      <c r="F429" s="12"/>
      <c r="M429" s="12"/>
    </row>
    <row r="430">
      <c r="F430" s="12"/>
      <c r="M430" s="12"/>
    </row>
    <row r="431">
      <c r="F431" s="12"/>
      <c r="M431" s="12"/>
    </row>
    <row r="432">
      <c r="F432" s="12"/>
      <c r="M432" s="12"/>
    </row>
    <row r="433">
      <c r="F433" s="12"/>
      <c r="M433" s="12"/>
    </row>
    <row r="434">
      <c r="F434" s="12"/>
      <c r="M434" s="12"/>
    </row>
    <row r="435">
      <c r="F435" s="12"/>
      <c r="M435" s="12"/>
    </row>
    <row r="436">
      <c r="F436" s="12"/>
      <c r="M436" s="12"/>
    </row>
    <row r="437">
      <c r="F437" s="12"/>
      <c r="M437" s="12"/>
    </row>
    <row r="438">
      <c r="F438" s="12"/>
      <c r="M438" s="12"/>
    </row>
    <row r="439">
      <c r="F439" s="12"/>
      <c r="M439" s="12"/>
    </row>
    <row r="440">
      <c r="F440" s="12"/>
      <c r="M440" s="12"/>
    </row>
    <row r="441">
      <c r="F441" s="12"/>
      <c r="M441" s="12"/>
    </row>
    <row r="442">
      <c r="F442" s="12"/>
      <c r="M442" s="12"/>
    </row>
    <row r="443">
      <c r="F443" s="12"/>
      <c r="M443" s="12"/>
    </row>
    <row r="444">
      <c r="F444" s="12"/>
      <c r="M444" s="12"/>
    </row>
    <row r="445">
      <c r="F445" s="12"/>
      <c r="M445" s="12"/>
    </row>
    <row r="446">
      <c r="F446" s="12"/>
      <c r="M446" s="12"/>
    </row>
    <row r="447">
      <c r="F447" s="12"/>
      <c r="M447" s="12"/>
    </row>
    <row r="448">
      <c r="F448" s="12"/>
      <c r="M448" s="12"/>
    </row>
    <row r="449">
      <c r="F449" s="12"/>
      <c r="M449" s="12"/>
    </row>
    <row r="450">
      <c r="F450" s="12"/>
      <c r="M450" s="12"/>
    </row>
    <row r="451">
      <c r="F451" s="12"/>
      <c r="M451" s="12"/>
    </row>
    <row r="452">
      <c r="F452" s="12"/>
      <c r="M452" s="12"/>
    </row>
    <row r="453">
      <c r="F453" s="12"/>
      <c r="M453" s="12"/>
    </row>
    <row r="454">
      <c r="F454" s="12"/>
      <c r="M454" s="12"/>
    </row>
    <row r="455">
      <c r="F455" s="12"/>
      <c r="M455" s="12"/>
    </row>
    <row r="456">
      <c r="F456" s="12"/>
      <c r="M456" s="12"/>
    </row>
    <row r="457">
      <c r="F457" s="12"/>
      <c r="M457" s="12"/>
    </row>
    <row r="458">
      <c r="F458" s="12"/>
      <c r="M458" s="12"/>
    </row>
    <row r="459">
      <c r="F459" s="12"/>
      <c r="M459" s="12"/>
    </row>
    <row r="460">
      <c r="F460" s="12"/>
      <c r="M460" s="12"/>
    </row>
    <row r="461">
      <c r="F461" s="12"/>
      <c r="M461" s="12"/>
    </row>
    <row r="462">
      <c r="F462" s="12"/>
      <c r="M462" s="12"/>
    </row>
    <row r="463">
      <c r="F463" s="12"/>
      <c r="M463" s="12"/>
    </row>
    <row r="464">
      <c r="F464" s="12"/>
      <c r="M464" s="12"/>
    </row>
    <row r="465">
      <c r="F465" s="12"/>
      <c r="M465" s="12"/>
    </row>
    <row r="466">
      <c r="F466" s="12"/>
      <c r="M466" s="12"/>
    </row>
    <row r="467">
      <c r="F467" s="12"/>
      <c r="M467" s="12"/>
    </row>
    <row r="468">
      <c r="F468" s="12"/>
      <c r="M468" s="12"/>
    </row>
    <row r="469">
      <c r="F469" s="12"/>
      <c r="M469" s="12"/>
    </row>
    <row r="470">
      <c r="F470" s="12"/>
      <c r="M470" s="12"/>
    </row>
    <row r="471">
      <c r="F471" s="12"/>
      <c r="M471" s="12"/>
    </row>
    <row r="472">
      <c r="F472" s="12"/>
      <c r="M472" s="12"/>
    </row>
    <row r="473">
      <c r="F473" s="12"/>
      <c r="M473" s="12"/>
    </row>
    <row r="474">
      <c r="F474" s="12"/>
      <c r="M474" s="12"/>
    </row>
    <row r="475">
      <c r="F475" s="12"/>
      <c r="M475" s="12"/>
    </row>
    <row r="476">
      <c r="F476" s="12"/>
      <c r="M476" s="12"/>
    </row>
    <row r="477">
      <c r="F477" s="12"/>
      <c r="M477" s="12"/>
    </row>
    <row r="478">
      <c r="F478" s="12"/>
      <c r="M478" s="12"/>
    </row>
    <row r="479">
      <c r="F479" s="12"/>
      <c r="M479" s="12"/>
    </row>
    <row r="480">
      <c r="F480" s="12"/>
      <c r="M480" s="12"/>
    </row>
    <row r="481">
      <c r="F481" s="12"/>
      <c r="M481" s="12"/>
    </row>
    <row r="482">
      <c r="F482" s="12"/>
      <c r="M482" s="12"/>
    </row>
    <row r="483">
      <c r="F483" s="12"/>
      <c r="M483" s="12"/>
    </row>
    <row r="484">
      <c r="F484" s="12"/>
      <c r="M484" s="12"/>
    </row>
    <row r="485">
      <c r="F485" s="12"/>
      <c r="M485" s="12"/>
    </row>
    <row r="486">
      <c r="F486" s="12"/>
      <c r="M486" s="12"/>
    </row>
    <row r="487">
      <c r="F487" s="12"/>
      <c r="M487" s="12"/>
    </row>
    <row r="488">
      <c r="F488" s="12"/>
      <c r="M488" s="12"/>
    </row>
    <row r="489">
      <c r="F489" s="12"/>
      <c r="M489" s="12"/>
    </row>
    <row r="490">
      <c r="F490" s="12"/>
      <c r="M490" s="12"/>
    </row>
    <row r="491">
      <c r="F491" s="12"/>
      <c r="M491" s="12"/>
    </row>
    <row r="492">
      <c r="F492" s="12"/>
      <c r="M492" s="12"/>
    </row>
    <row r="493">
      <c r="F493" s="12"/>
      <c r="M493" s="12"/>
    </row>
    <row r="494">
      <c r="F494" s="12"/>
      <c r="M494" s="12"/>
    </row>
    <row r="495">
      <c r="F495" s="12"/>
      <c r="M495" s="12"/>
    </row>
    <row r="496">
      <c r="F496" s="12"/>
      <c r="M496" s="12"/>
    </row>
    <row r="497">
      <c r="F497" s="12"/>
      <c r="M497" s="12"/>
    </row>
    <row r="498">
      <c r="F498" s="12"/>
      <c r="M498" s="12"/>
    </row>
    <row r="499">
      <c r="F499" s="12"/>
      <c r="M499" s="12"/>
    </row>
    <row r="500">
      <c r="F500" s="12"/>
      <c r="M500" s="12"/>
    </row>
    <row r="501">
      <c r="F501" s="12"/>
      <c r="M501" s="12"/>
    </row>
    <row r="502">
      <c r="F502" s="12"/>
      <c r="M502" s="12"/>
    </row>
    <row r="503">
      <c r="F503" s="12"/>
      <c r="M503" s="12"/>
    </row>
    <row r="504">
      <c r="F504" s="12"/>
      <c r="M504" s="12"/>
    </row>
    <row r="505">
      <c r="F505" s="12"/>
      <c r="M505" s="12"/>
    </row>
    <row r="506">
      <c r="F506" s="12"/>
      <c r="M506" s="12"/>
    </row>
    <row r="507">
      <c r="F507" s="12"/>
      <c r="M507" s="12"/>
    </row>
    <row r="508">
      <c r="F508" s="12"/>
      <c r="M508" s="12"/>
    </row>
    <row r="509">
      <c r="F509" s="12"/>
      <c r="M509" s="12"/>
    </row>
    <row r="510">
      <c r="F510" s="12"/>
      <c r="M510" s="12"/>
    </row>
    <row r="511">
      <c r="F511" s="12"/>
      <c r="M511" s="12"/>
    </row>
    <row r="512">
      <c r="F512" s="12"/>
      <c r="M512" s="12"/>
    </row>
    <row r="513">
      <c r="F513" s="12"/>
      <c r="M513" s="12"/>
    </row>
    <row r="514">
      <c r="F514" s="12"/>
      <c r="M514" s="12"/>
    </row>
    <row r="515">
      <c r="F515" s="12"/>
      <c r="M515" s="12"/>
    </row>
    <row r="516">
      <c r="F516" s="12"/>
      <c r="M516" s="12"/>
    </row>
    <row r="517">
      <c r="F517" s="12"/>
      <c r="M517" s="12"/>
    </row>
    <row r="518">
      <c r="F518" s="12"/>
      <c r="M518" s="12"/>
    </row>
    <row r="519">
      <c r="F519" s="12"/>
      <c r="M519" s="12"/>
    </row>
    <row r="520">
      <c r="F520" s="12"/>
      <c r="M520" s="12"/>
    </row>
    <row r="521">
      <c r="F521" s="12"/>
      <c r="M521" s="12"/>
    </row>
    <row r="522">
      <c r="F522" s="12"/>
      <c r="M522" s="12"/>
    </row>
    <row r="523">
      <c r="F523" s="12"/>
      <c r="M523" s="12"/>
    </row>
    <row r="524">
      <c r="F524" s="12"/>
      <c r="M524" s="12"/>
    </row>
    <row r="525">
      <c r="F525" s="12"/>
      <c r="M525" s="12"/>
    </row>
    <row r="526">
      <c r="F526" s="12"/>
      <c r="M526" s="12"/>
    </row>
    <row r="527">
      <c r="F527" s="12"/>
      <c r="M527" s="12"/>
    </row>
    <row r="528">
      <c r="F528" s="12"/>
      <c r="M528" s="12"/>
    </row>
    <row r="529">
      <c r="F529" s="12"/>
      <c r="M529" s="12"/>
    </row>
    <row r="530">
      <c r="F530" s="12"/>
      <c r="M530" s="12"/>
    </row>
    <row r="531">
      <c r="F531" s="12"/>
      <c r="M531" s="12"/>
    </row>
    <row r="532">
      <c r="F532" s="12"/>
      <c r="M532" s="12"/>
    </row>
    <row r="533">
      <c r="F533" s="12"/>
      <c r="M533" s="12"/>
    </row>
    <row r="534">
      <c r="F534" s="12"/>
      <c r="M534" s="12"/>
    </row>
    <row r="535">
      <c r="F535" s="12"/>
      <c r="M535" s="12"/>
    </row>
    <row r="536">
      <c r="F536" s="12"/>
      <c r="M536" s="12"/>
    </row>
    <row r="537">
      <c r="F537" s="12"/>
      <c r="M537" s="12"/>
    </row>
    <row r="538">
      <c r="F538" s="12"/>
      <c r="M538" s="12"/>
    </row>
    <row r="539">
      <c r="F539" s="12"/>
      <c r="M539" s="12"/>
    </row>
    <row r="540">
      <c r="F540" s="12"/>
      <c r="M540" s="12"/>
    </row>
    <row r="541">
      <c r="F541" s="12"/>
      <c r="M541" s="12"/>
    </row>
    <row r="542">
      <c r="F542" s="12"/>
      <c r="M542" s="12"/>
    </row>
    <row r="543">
      <c r="F543" s="12"/>
      <c r="M543" s="12"/>
    </row>
    <row r="544">
      <c r="F544" s="12"/>
      <c r="M544" s="12"/>
    </row>
    <row r="545">
      <c r="F545" s="12"/>
      <c r="M545" s="12"/>
    </row>
    <row r="546">
      <c r="F546" s="12"/>
      <c r="M546" s="12"/>
    </row>
    <row r="547">
      <c r="F547" s="12"/>
      <c r="M547" s="12"/>
    </row>
    <row r="548">
      <c r="F548" s="12"/>
      <c r="M548" s="12"/>
    </row>
    <row r="549">
      <c r="F549" s="12"/>
      <c r="M549" s="12"/>
    </row>
    <row r="550">
      <c r="F550" s="12"/>
      <c r="M550" s="12"/>
    </row>
    <row r="551">
      <c r="F551" s="12"/>
      <c r="M551" s="12"/>
    </row>
    <row r="552">
      <c r="F552" s="12"/>
      <c r="M552" s="12"/>
    </row>
    <row r="553">
      <c r="F553" s="12"/>
      <c r="M553" s="12"/>
    </row>
    <row r="554">
      <c r="F554" s="12"/>
      <c r="M554" s="12"/>
    </row>
    <row r="555">
      <c r="F555" s="12"/>
      <c r="M555" s="12"/>
    </row>
    <row r="556">
      <c r="F556" s="12"/>
      <c r="M556" s="12"/>
    </row>
    <row r="557">
      <c r="F557" s="12"/>
      <c r="M557" s="12"/>
    </row>
    <row r="558">
      <c r="F558" s="12"/>
      <c r="M558" s="12"/>
    </row>
    <row r="559">
      <c r="F559" s="12"/>
      <c r="M559" s="12"/>
    </row>
    <row r="560">
      <c r="F560" s="12"/>
      <c r="M560" s="12"/>
    </row>
    <row r="561">
      <c r="F561" s="12"/>
      <c r="M561" s="12"/>
    </row>
    <row r="562">
      <c r="F562" s="12"/>
      <c r="M562" s="12"/>
    </row>
    <row r="563">
      <c r="F563" s="12"/>
      <c r="M563" s="12"/>
    </row>
    <row r="564">
      <c r="F564" s="12"/>
      <c r="M564" s="12"/>
    </row>
    <row r="565">
      <c r="F565" s="12"/>
      <c r="M565" s="12"/>
    </row>
    <row r="566">
      <c r="F566" s="12"/>
      <c r="M566" s="12"/>
    </row>
    <row r="567">
      <c r="F567" s="12"/>
      <c r="M567" s="12"/>
    </row>
    <row r="568">
      <c r="F568" s="12"/>
      <c r="M568" s="12"/>
    </row>
    <row r="569">
      <c r="F569" s="12"/>
      <c r="M569" s="12"/>
    </row>
    <row r="570">
      <c r="F570" s="12"/>
      <c r="M570" s="12"/>
    </row>
    <row r="571">
      <c r="F571" s="12"/>
      <c r="M571" s="12"/>
    </row>
    <row r="572">
      <c r="F572" s="12"/>
      <c r="M572" s="12"/>
    </row>
    <row r="573">
      <c r="F573" s="12"/>
      <c r="M573" s="12"/>
    </row>
    <row r="574">
      <c r="F574" s="12"/>
      <c r="M574" s="12"/>
    </row>
    <row r="575">
      <c r="F575" s="12"/>
      <c r="M575" s="12"/>
    </row>
    <row r="576">
      <c r="F576" s="12"/>
      <c r="M576" s="12"/>
    </row>
    <row r="577">
      <c r="F577" s="12"/>
      <c r="M577" s="12"/>
    </row>
    <row r="578">
      <c r="F578" s="12"/>
      <c r="M578" s="12"/>
    </row>
    <row r="579">
      <c r="F579" s="12"/>
      <c r="M579" s="12"/>
    </row>
    <row r="580">
      <c r="F580" s="12"/>
      <c r="M580" s="12"/>
    </row>
    <row r="581">
      <c r="F581" s="12"/>
      <c r="M581" s="12"/>
    </row>
    <row r="582">
      <c r="F582" s="12"/>
      <c r="M582" s="12"/>
    </row>
    <row r="583">
      <c r="F583" s="12"/>
      <c r="M583" s="12"/>
    </row>
    <row r="584">
      <c r="F584" s="12"/>
      <c r="M584" s="12"/>
    </row>
    <row r="585">
      <c r="F585" s="12"/>
      <c r="M585" s="12"/>
    </row>
    <row r="586">
      <c r="F586" s="12"/>
      <c r="M586" s="12"/>
    </row>
    <row r="587">
      <c r="F587" s="12"/>
      <c r="M587" s="12"/>
    </row>
    <row r="588">
      <c r="F588" s="12"/>
      <c r="M588" s="12"/>
    </row>
    <row r="589">
      <c r="F589" s="12"/>
      <c r="M589" s="12"/>
    </row>
    <row r="590">
      <c r="F590" s="12"/>
      <c r="M590" s="12"/>
    </row>
    <row r="591">
      <c r="F591" s="12"/>
      <c r="M591" s="12"/>
    </row>
    <row r="592">
      <c r="F592" s="12"/>
      <c r="M592" s="12"/>
    </row>
    <row r="593">
      <c r="F593" s="12"/>
      <c r="M593" s="12"/>
    </row>
    <row r="594">
      <c r="F594" s="12"/>
      <c r="M594" s="12"/>
    </row>
    <row r="595">
      <c r="F595" s="12"/>
      <c r="M595" s="12"/>
    </row>
    <row r="596">
      <c r="F596" s="12"/>
      <c r="M596" s="12"/>
    </row>
    <row r="597">
      <c r="F597" s="12"/>
      <c r="M597" s="12"/>
    </row>
    <row r="598">
      <c r="F598" s="12"/>
      <c r="M598" s="12"/>
    </row>
    <row r="599">
      <c r="F599" s="12"/>
      <c r="M599" s="12"/>
    </row>
    <row r="600">
      <c r="F600" s="12"/>
      <c r="M600" s="12"/>
    </row>
    <row r="601">
      <c r="F601" s="12"/>
      <c r="M601" s="12"/>
    </row>
    <row r="602">
      <c r="F602" s="12"/>
      <c r="M602" s="12"/>
    </row>
    <row r="603">
      <c r="F603" s="12"/>
      <c r="M603" s="12"/>
    </row>
    <row r="604">
      <c r="F604" s="12"/>
      <c r="M604" s="12"/>
    </row>
    <row r="605">
      <c r="F605" s="12"/>
      <c r="M605" s="12"/>
    </row>
    <row r="606">
      <c r="F606" s="12"/>
      <c r="M606" s="12"/>
    </row>
    <row r="607">
      <c r="F607" s="12"/>
      <c r="M607" s="12"/>
    </row>
    <row r="608">
      <c r="F608" s="12"/>
      <c r="M608" s="12"/>
    </row>
    <row r="609">
      <c r="F609" s="12"/>
      <c r="M609" s="12"/>
    </row>
    <row r="610">
      <c r="F610" s="12"/>
      <c r="M610" s="12"/>
    </row>
    <row r="611">
      <c r="F611" s="12"/>
      <c r="M611" s="12"/>
    </row>
    <row r="612">
      <c r="F612" s="12"/>
      <c r="M612" s="12"/>
    </row>
    <row r="613">
      <c r="F613" s="12"/>
      <c r="M613" s="12"/>
    </row>
    <row r="614">
      <c r="F614" s="12"/>
      <c r="M614" s="12"/>
    </row>
    <row r="615">
      <c r="F615" s="12"/>
      <c r="M615" s="12"/>
    </row>
    <row r="616">
      <c r="F616" s="12"/>
      <c r="M616" s="12"/>
    </row>
    <row r="617">
      <c r="F617" s="12"/>
      <c r="M617" s="12"/>
    </row>
    <row r="618">
      <c r="F618" s="12"/>
      <c r="M618" s="12"/>
    </row>
    <row r="619">
      <c r="F619" s="12"/>
      <c r="M619" s="12"/>
    </row>
    <row r="620">
      <c r="F620" s="12"/>
      <c r="M620" s="12"/>
    </row>
    <row r="621">
      <c r="F621" s="12"/>
      <c r="M621" s="12"/>
    </row>
    <row r="622">
      <c r="F622" s="12"/>
      <c r="M622" s="12"/>
    </row>
    <row r="623">
      <c r="F623" s="12"/>
      <c r="M623" s="12"/>
    </row>
    <row r="624">
      <c r="F624" s="12"/>
      <c r="M624" s="12"/>
    </row>
    <row r="625">
      <c r="F625" s="12"/>
      <c r="M625" s="12"/>
    </row>
    <row r="626">
      <c r="F626" s="12"/>
      <c r="M626" s="12"/>
    </row>
    <row r="627">
      <c r="F627" s="12"/>
      <c r="M627" s="12"/>
    </row>
    <row r="628">
      <c r="F628" s="12"/>
      <c r="M628" s="12"/>
    </row>
    <row r="629">
      <c r="F629" s="12"/>
      <c r="M629" s="12"/>
    </row>
    <row r="630">
      <c r="F630" s="12"/>
      <c r="M630" s="12"/>
    </row>
    <row r="631">
      <c r="F631" s="12"/>
      <c r="M631" s="12"/>
    </row>
    <row r="632">
      <c r="F632" s="12"/>
      <c r="M632" s="12"/>
    </row>
    <row r="633">
      <c r="F633" s="12"/>
      <c r="M633" s="12"/>
    </row>
    <row r="634">
      <c r="F634" s="12"/>
      <c r="M634" s="12"/>
    </row>
    <row r="635">
      <c r="F635" s="12"/>
      <c r="M635" s="12"/>
    </row>
    <row r="636">
      <c r="F636" s="12"/>
      <c r="M636" s="12"/>
    </row>
    <row r="637">
      <c r="F637" s="12"/>
      <c r="M637" s="12"/>
    </row>
    <row r="638">
      <c r="F638" s="12"/>
      <c r="M638" s="12"/>
    </row>
    <row r="639">
      <c r="F639" s="12"/>
      <c r="M639" s="12"/>
    </row>
    <row r="640">
      <c r="F640" s="12"/>
      <c r="M640" s="12"/>
    </row>
    <row r="641">
      <c r="F641" s="12"/>
      <c r="M641" s="12"/>
    </row>
    <row r="642">
      <c r="F642" s="12"/>
      <c r="M642" s="12"/>
    </row>
    <row r="643">
      <c r="F643" s="12"/>
      <c r="M643" s="12"/>
    </row>
    <row r="644">
      <c r="F644" s="12"/>
      <c r="M644" s="12"/>
    </row>
    <row r="645">
      <c r="F645" s="12"/>
      <c r="M645" s="12"/>
    </row>
    <row r="646">
      <c r="F646" s="12"/>
      <c r="M646" s="12"/>
    </row>
    <row r="647">
      <c r="F647" s="12"/>
      <c r="M647" s="12"/>
    </row>
    <row r="648">
      <c r="F648" s="12"/>
      <c r="M648" s="12"/>
    </row>
    <row r="649">
      <c r="F649" s="12"/>
      <c r="M649" s="12"/>
    </row>
    <row r="650">
      <c r="F650" s="12"/>
      <c r="M650" s="12"/>
    </row>
    <row r="651">
      <c r="F651" s="12"/>
      <c r="M651" s="12"/>
    </row>
    <row r="652">
      <c r="F652" s="12"/>
      <c r="M652" s="12"/>
    </row>
    <row r="653">
      <c r="F653" s="12"/>
      <c r="M653" s="12"/>
    </row>
    <row r="654">
      <c r="F654" s="12"/>
      <c r="M654" s="12"/>
    </row>
    <row r="655">
      <c r="F655" s="12"/>
      <c r="M655" s="12"/>
    </row>
    <row r="656">
      <c r="F656" s="12"/>
      <c r="M656" s="12"/>
    </row>
    <row r="657">
      <c r="F657" s="12"/>
      <c r="M657" s="12"/>
    </row>
    <row r="658">
      <c r="F658" s="12"/>
      <c r="M658" s="12"/>
    </row>
    <row r="659">
      <c r="F659" s="12"/>
      <c r="M659" s="12"/>
    </row>
    <row r="660">
      <c r="F660" s="12"/>
      <c r="M660" s="12"/>
    </row>
    <row r="661">
      <c r="F661" s="12"/>
      <c r="M661" s="12"/>
    </row>
    <row r="662">
      <c r="F662" s="12"/>
      <c r="M662" s="12"/>
    </row>
    <row r="663">
      <c r="F663" s="12"/>
      <c r="M663" s="12"/>
    </row>
    <row r="664">
      <c r="F664" s="12"/>
      <c r="M664" s="12"/>
    </row>
    <row r="665">
      <c r="F665" s="12"/>
      <c r="M665" s="12"/>
    </row>
    <row r="666">
      <c r="F666" s="12"/>
      <c r="M666" s="12"/>
    </row>
    <row r="667">
      <c r="F667" s="12"/>
      <c r="M667" s="12"/>
    </row>
    <row r="668">
      <c r="F668" s="12"/>
      <c r="M668" s="12"/>
    </row>
    <row r="669">
      <c r="F669" s="12"/>
      <c r="M669" s="12"/>
    </row>
    <row r="670">
      <c r="F670" s="12"/>
      <c r="M670" s="12"/>
    </row>
    <row r="671">
      <c r="F671" s="12"/>
      <c r="M671" s="12"/>
    </row>
    <row r="672">
      <c r="F672" s="12"/>
      <c r="M672" s="12"/>
    </row>
    <row r="673">
      <c r="F673" s="12"/>
      <c r="M673" s="12"/>
    </row>
    <row r="674">
      <c r="F674" s="12"/>
      <c r="M674" s="12"/>
    </row>
    <row r="675">
      <c r="F675" s="12"/>
      <c r="M675" s="12"/>
    </row>
    <row r="676">
      <c r="F676" s="12"/>
      <c r="M676" s="12"/>
    </row>
    <row r="677">
      <c r="F677" s="12"/>
      <c r="M677" s="12"/>
    </row>
    <row r="678">
      <c r="F678" s="12"/>
      <c r="M678" s="12"/>
    </row>
    <row r="679">
      <c r="F679" s="12"/>
      <c r="M679" s="12"/>
    </row>
    <row r="680">
      <c r="F680" s="12"/>
      <c r="M680" s="12"/>
    </row>
    <row r="681">
      <c r="F681" s="12"/>
      <c r="M681" s="12"/>
    </row>
    <row r="682">
      <c r="F682" s="12"/>
      <c r="M682" s="12"/>
    </row>
    <row r="683">
      <c r="F683" s="12"/>
      <c r="M683" s="12"/>
    </row>
    <row r="684">
      <c r="F684" s="12"/>
      <c r="M684" s="12"/>
    </row>
    <row r="685">
      <c r="F685" s="12"/>
      <c r="M685" s="12"/>
    </row>
    <row r="686">
      <c r="F686" s="12"/>
      <c r="M686" s="12"/>
    </row>
    <row r="687">
      <c r="F687" s="12"/>
      <c r="M687" s="12"/>
    </row>
    <row r="688">
      <c r="F688" s="12"/>
      <c r="M688" s="12"/>
    </row>
    <row r="689">
      <c r="F689" s="12"/>
      <c r="M689" s="12"/>
    </row>
    <row r="690">
      <c r="F690" s="12"/>
      <c r="M690" s="12"/>
    </row>
    <row r="691">
      <c r="F691" s="12"/>
      <c r="M691" s="12"/>
    </row>
    <row r="692">
      <c r="F692" s="12"/>
      <c r="M692" s="12"/>
    </row>
    <row r="693">
      <c r="F693" s="12"/>
      <c r="M693" s="12"/>
    </row>
    <row r="694">
      <c r="F694" s="12"/>
      <c r="M694" s="12"/>
    </row>
    <row r="695">
      <c r="F695" s="12"/>
      <c r="M695" s="12"/>
    </row>
    <row r="696">
      <c r="F696" s="12"/>
      <c r="M696" s="12"/>
    </row>
    <row r="697">
      <c r="F697" s="12"/>
      <c r="M697" s="12"/>
    </row>
    <row r="698">
      <c r="F698" s="12"/>
      <c r="M698" s="12"/>
    </row>
    <row r="699">
      <c r="F699" s="12"/>
      <c r="M699" s="12"/>
    </row>
    <row r="700">
      <c r="F700" s="12"/>
      <c r="M700" s="12"/>
    </row>
    <row r="701">
      <c r="F701" s="12"/>
      <c r="M701" s="12"/>
    </row>
    <row r="702">
      <c r="F702" s="12"/>
      <c r="M702" s="12"/>
    </row>
    <row r="703">
      <c r="F703" s="12"/>
      <c r="M703" s="12"/>
    </row>
    <row r="704">
      <c r="F704" s="12"/>
      <c r="M704" s="12"/>
    </row>
    <row r="705">
      <c r="F705" s="12"/>
      <c r="M705" s="12"/>
    </row>
    <row r="706">
      <c r="F706" s="12"/>
      <c r="M706" s="12"/>
    </row>
    <row r="707">
      <c r="F707" s="12"/>
      <c r="M707" s="12"/>
    </row>
    <row r="708">
      <c r="F708" s="12"/>
      <c r="M708" s="12"/>
    </row>
    <row r="709">
      <c r="F709" s="12"/>
      <c r="M709" s="12"/>
    </row>
    <row r="710">
      <c r="F710" s="12"/>
      <c r="M710" s="12"/>
    </row>
    <row r="711">
      <c r="F711" s="12"/>
      <c r="M711" s="12"/>
    </row>
    <row r="712">
      <c r="F712" s="12"/>
      <c r="M712" s="12"/>
    </row>
    <row r="713">
      <c r="F713" s="12"/>
      <c r="M713" s="12"/>
    </row>
    <row r="714">
      <c r="F714" s="12"/>
      <c r="M714" s="12"/>
    </row>
    <row r="715">
      <c r="F715" s="12"/>
      <c r="M715" s="12"/>
    </row>
    <row r="716">
      <c r="F716" s="12"/>
      <c r="M716" s="12"/>
    </row>
    <row r="717">
      <c r="F717" s="12"/>
      <c r="M717" s="12"/>
    </row>
    <row r="718">
      <c r="F718" s="12"/>
      <c r="M718" s="12"/>
    </row>
    <row r="719">
      <c r="F719" s="12"/>
      <c r="M719" s="12"/>
    </row>
    <row r="720">
      <c r="F720" s="12"/>
      <c r="M720" s="12"/>
    </row>
    <row r="721">
      <c r="F721" s="12"/>
      <c r="M721" s="12"/>
    </row>
    <row r="722">
      <c r="F722" s="12"/>
      <c r="M722" s="12"/>
    </row>
    <row r="723">
      <c r="F723" s="12"/>
      <c r="M723" s="12"/>
    </row>
    <row r="724">
      <c r="F724" s="12"/>
      <c r="M724" s="12"/>
    </row>
    <row r="725">
      <c r="F725" s="12"/>
      <c r="M725" s="12"/>
    </row>
    <row r="726">
      <c r="F726" s="12"/>
      <c r="M726" s="12"/>
    </row>
    <row r="727">
      <c r="F727" s="12"/>
      <c r="M727" s="12"/>
    </row>
    <row r="728">
      <c r="F728" s="12"/>
      <c r="M728" s="12"/>
    </row>
    <row r="729">
      <c r="F729" s="12"/>
      <c r="M729" s="12"/>
    </row>
    <row r="730">
      <c r="F730" s="12"/>
      <c r="M730" s="12"/>
    </row>
    <row r="731">
      <c r="F731" s="12"/>
      <c r="M731" s="12"/>
    </row>
    <row r="732">
      <c r="F732" s="12"/>
      <c r="M732" s="12"/>
    </row>
    <row r="733">
      <c r="F733" s="12"/>
      <c r="M733" s="12"/>
    </row>
    <row r="734">
      <c r="F734" s="12"/>
      <c r="M734" s="12"/>
    </row>
    <row r="735">
      <c r="F735" s="12"/>
      <c r="M735" s="12"/>
    </row>
    <row r="736">
      <c r="F736" s="12"/>
      <c r="M736" s="12"/>
    </row>
    <row r="737">
      <c r="F737" s="12"/>
      <c r="M737" s="12"/>
    </row>
    <row r="738">
      <c r="F738" s="12"/>
      <c r="M738" s="12"/>
    </row>
    <row r="739">
      <c r="F739" s="12"/>
      <c r="M739" s="12"/>
    </row>
    <row r="740">
      <c r="F740" s="12"/>
      <c r="M740" s="12"/>
    </row>
    <row r="741">
      <c r="F741" s="12"/>
      <c r="M741" s="12"/>
    </row>
    <row r="742">
      <c r="F742" s="12"/>
      <c r="M742" s="12"/>
    </row>
    <row r="743">
      <c r="F743" s="12"/>
      <c r="M743" s="12"/>
    </row>
    <row r="744">
      <c r="F744" s="12"/>
      <c r="M744" s="12"/>
    </row>
    <row r="745">
      <c r="F745" s="12"/>
      <c r="M745" s="12"/>
    </row>
    <row r="746">
      <c r="F746" s="12"/>
      <c r="M746" s="12"/>
    </row>
    <row r="747">
      <c r="F747" s="12"/>
      <c r="M747" s="12"/>
    </row>
    <row r="748">
      <c r="F748" s="12"/>
      <c r="M748" s="12"/>
    </row>
    <row r="749">
      <c r="F749" s="12"/>
      <c r="M749" s="12"/>
    </row>
    <row r="750">
      <c r="F750" s="12"/>
      <c r="M750" s="12"/>
    </row>
    <row r="751">
      <c r="F751" s="12"/>
      <c r="M751" s="12"/>
    </row>
    <row r="752">
      <c r="F752" s="12"/>
      <c r="M752" s="12"/>
    </row>
    <row r="753">
      <c r="F753" s="12"/>
      <c r="M753" s="12"/>
    </row>
    <row r="754">
      <c r="F754" s="12"/>
      <c r="M754" s="12"/>
    </row>
    <row r="755">
      <c r="F755" s="12"/>
      <c r="M755" s="12"/>
    </row>
    <row r="756">
      <c r="F756" s="12"/>
      <c r="M756" s="12"/>
    </row>
    <row r="757">
      <c r="F757" s="12"/>
      <c r="M757" s="12"/>
    </row>
    <row r="758">
      <c r="F758" s="12"/>
      <c r="M758" s="12"/>
    </row>
    <row r="759">
      <c r="F759" s="12"/>
      <c r="M759" s="12"/>
    </row>
    <row r="760">
      <c r="F760" s="12"/>
      <c r="M760" s="12"/>
    </row>
    <row r="761">
      <c r="F761" s="12"/>
      <c r="M761" s="12"/>
    </row>
    <row r="762">
      <c r="F762" s="12"/>
      <c r="M762" s="12"/>
    </row>
    <row r="763">
      <c r="F763" s="12"/>
      <c r="M763" s="12"/>
    </row>
    <row r="764">
      <c r="F764" s="12"/>
      <c r="M764" s="12"/>
    </row>
    <row r="765">
      <c r="F765" s="12"/>
      <c r="M765" s="12"/>
    </row>
    <row r="766">
      <c r="F766" s="12"/>
      <c r="M766" s="12"/>
    </row>
    <row r="767">
      <c r="F767" s="12"/>
      <c r="M767" s="12"/>
    </row>
    <row r="768">
      <c r="F768" s="12"/>
      <c r="M768" s="12"/>
    </row>
    <row r="769">
      <c r="F769" s="12"/>
      <c r="M769" s="12"/>
    </row>
    <row r="770">
      <c r="F770" s="12"/>
      <c r="M770" s="12"/>
    </row>
    <row r="771">
      <c r="F771" s="12"/>
      <c r="M771" s="12"/>
    </row>
    <row r="772">
      <c r="F772" s="12"/>
      <c r="M772" s="12"/>
    </row>
    <row r="773">
      <c r="F773" s="12"/>
      <c r="M773" s="12"/>
    </row>
    <row r="774">
      <c r="F774" s="12"/>
      <c r="M774" s="12"/>
    </row>
    <row r="775">
      <c r="F775" s="12"/>
      <c r="M775" s="12"/>
    </row>
    <row r="776">
      <c r="F776" s="12"/>
      <c r="M776" s="12"/>
    </row>
    <row r="777">
      <c r="F777" s="12"/>
      <c r="M777" s="12"/>
    </row>
    <row r="778">
      <c r="F778" s="12"/>
      <c r="M778" s="12"/>
    </row>
    <row r="779">
      <c r="F779" s="12"/>
      <c r="M779" s="12"/>
    </row>
    <row r="780">
      <c r="F780" s="12"/>
      <c r="M780" s="12"/>
    </row>
    <row r="781">
      <c r="F781" s="12"/>
      <c r="M781" s="12"/>
    </row>
    <row r="782">
      <c r="F782" s="12"/>
      <c r="M782" s="12"/>
    </row>
    <row r="783">
      <c r="F783" s="12"/>
      <c r="M783" s="12"/>
    </row>
    <row r="784">
      <c r="F784" s="12"/>
      <c r="M784" s="12"/>
    </row>
    <row r="785">
      <c r="F785" s="12"/>
      <c r="M785" s="12"/>
    </row>
    <row r="786">
      <c r="F786" s="12"/>
      <c r="M786" s="12"/>
    </row>
    <row r="787">
      <c r="F787" s="12"/>
      <c r="M787" s="12"/>
    </row>
    <row r="788">
      <c r="F788" s="12"/>
      <c r="M788" s="12"/>
    </row>
    <row r="789">
      <c r="F789" s="12"/>
      <c r="M789" s="12"/>
    </row>
    <row r="790">
      <c r="F790" s="12"/>
      <c r="M790" s="12"/>
    </row>
    <row r="791">
      <c r="F791" s="12"/>
      <c r="M791" s="12"/>
    </row>
    <row r="792">
      <c r="F792" s="12"/>
      <c r="M792" s="12"/>
    </row>
    <row r="793">
      <c r="F793" s="12"/>
      <c r="M793" s="12"/>
    </row>
    <row r="794">
      <c r="F794" s="12"/>
      <c r="M794" s="12"/>
    </row>
    <row r="795">
      <c r="F795" s="12"/>
      <c r="M795" s="12"/>
    </row>
    <row r="796">
      <c r="F796" s="12"/>
      <c r="M796" s="12"/>
    </row>
    <row r="797">
      <c r="F797" s="12"/>
      <c r="M797" s="12"/>
    </row>
    <row r="798">
      <c r="F798" s="12"/>
      <c r="M798" s="12"/>
    </row>
    <row r="799">
      <c r="F799" s="12"/>
      <c r="M799" s="12"/>
    </row>
    <row r="800">
      <c r="F800" s="12"/>
      <c r="M800" s="12"/>
    </row>
    <row r="801">
      <c r="F801" s="12"/>
      <c r="M801" s="12"/>
    </row>
    <row r="802">
      <c r="F802" s="12"/>
      <c r="M802" s="12"/>
    </row>
    <row r="803">
      <c r="F803" s="12"/>
      <c r="M803" s="12"/>
    </row>
    <row r="804">
      <c r="F804" s="12"/>
      <c r="M804" s="12"/>
    </row>
    <row r="805">
      <c r="F805" s="12"/>
      <c r="M805" s="12"/>
    </row>
    <row r="806">
      <c r="F806" s="12"/>
      <c r="M806" s="12"/>
    </row>
    <row r="807">
      <c r="F807" s="12"/>
      <c r="M807" s="12"/>
    </row>
    <row r="808">
      <c r="F808" s="12"/>
      <c r="M808" s="12"/>
    </row>
    <row r="809">
      <c r="F809" s="12"/>
      <c r="M809" s="12"/>
    </row>
    <row r="810">
      <c r="F810" s="12"/>
      <c r="M810" s="12"/>
    </row>
    <row r="811">
      <c r="F811" s="12"/>
      <c r="M811" s="12"/>
    </row>
    <row r="812">
      <c r="F812" s="12"/>
      <c r="M812" s="12"/>
    </row>
    <row r="813">
      <c r="F813" s="12"/>
      <c r="M813" s="12"/>
    </row>
    <row r="814">
      <c r="F814" s="12"/>
      <c r="M814" s="12"/>
    </row>
    <row r="815">
      <c r="F815" s="12"/>
      <c r="M815" s="12"/>
    </row>
    <row r="816">
      <c r="F816" s="12"/>
      <c r="M816" s="12"/>
    </row>
    <row r="817">
      <c r="F817" s="12"/>
      <c r="M817" s="12"/>
    </row>
    <row r="818">
      <c r="F818" s="12"/>
      <c r="M818" s="12"/>
    </row>
    <row r="819">
      <c r="F819" s="12"/>
      <c r="M819" s="12"/>
    </row>
    <row r="820">
      <c r="F820" s="12"/>
      <c r="M820" s="12"/>
    </row>
    <row r="821">
      <c r="F821" s="12"/>
      <c r="M821" s="12"/>
    </row>
    <row r="822">
      <c r="F822" s="12"/>
      <c r="M822" s="12"/>
    </row>
    <row r="823">
      <c r="F823" s="12"/>
      <c r="M823" s="12"/>
    </row>
    <row r="824">
      <c r="F824" s="12"/>
      <c r="M824" s="12"/>
    </row>
    <row r="825">
      <c r="F825" s="12"/>
      <c r="M825" s="12"/>
    </row>
    <row r="826">
      <c r="F826" s="12"/>
      <c r="M826" s="12"/>
    </row>
    <row r="827">
      <c r="F827" s="12"/>
      <c r="M827" s="12"/>
    </row>
    <row r="828">
      <c r="F828" s="12"/>
      <c r="M828" s="12"/>
    </row>
    <row r="829">
      <c r="F829" s="12"/>
      <c r="M829" s="12"/>
    </row>
    <row r="830">
      <c r="F830" s="12"/>
      <c r="M830" s="12"/>
    </row>
    <row r="831">
      <c r="F831" s="12"/>
      <c r="M831" s="12"/>
    </row>
    <row r="832">
      <c r="F832" s="12"/>
      <c r="M832" s="12"/>
    </row>
    <row r="833">
      <c r="F833" s="12"/>
      <c r="M833" s="12"/>
    </row>
    <row r="834">
      <c r="F834" s="12"/>
      <c r="M834" s="12"/>
    </row>
    <row r="835">
      <c r="F835" s="12"/>
      <c r="M835" s="12"/>
    </row>
    <row r="836">
      <c r="F836" s="12"/>
      <c r="M836" s="12"/>
    </row>
    <row r="837">
      <c r="F837" s="12"/>
      <c r="M837" s="12"/>
    </row>
    <row r="838">
      <c r="F838" s="12"/>
      <c r="M838" s="12"/>
    </row>
    <row r="839">
      <c r="F839" s="12"/>
      <c r="M839" s="12"/>
    </row>
    <row r="840">
      <c r="F840" s="12"/>
      <c r="M840" s="12"/>
    </row>
    <row r="841">
      <c r="F841" s="12"/>
      <c r="M841" s="12"/>
    </row>
    <row r="842">
      <c r="F842" s="12"/>
      <c r="M842" s="12"/>
    </row>
    <row r="843">
      <c r="F843" s="12"/>
      <c r="M843" s="12"/>
    </row>
    <row r="844">
      <c r="F844" s="12"/>
      <c r="M844" s="12"/>
    </row>
    <row r="845">
      <c r="F845" s="12"/>
      <c r="M845" s="12"/>
    </row>
    <row r="846">
      <c r="F846" s="12"/>
      <c r="M846" s="12"/>
    </row>
    <row r="847">
      <c r="F847" s="12"/>
      <c r="M847" s="12"/>
    </row>
    <row r="848">
      <c r="F848" s="12"/>
      <c r="M848" s="12"/>
    </row>
    <row r="849">
      <c r="F849" s="12"/>
      <c r="M849" s="12"/>
    </row>
    <row r="850">
      <c r="F850" s="12"/>
      <c r="M850" s="12"/>
    </row>
    <row r="851">
      <c r="F851" s="12"/>
      <c r="M851" s="12"/>
    </row>
    <row r="852">
      <c r="F852" s="12"/>
      <c r="M852" s="12"/>
    </row>
    <row r="853">
      <c r="F853" s="12"/>
      <c r="M853" s="12"/>
    </row>
    <row r="854">
      <c r="F854" s="12"/>
      <c r="M854" s="12"/>
    </row>
    <row r="855">
      <c r="F855" s="12"/>
      <c r="M855" s="12"/>
    </row>
    <row r="856">
      <c r="F856" s="12"/>
      <c r="M856" s="12"/>
    </row>
    <row r="857">
      <c r="F857" s="12"/>
      <c r="M857" s="12"/>
    </row>
    <row r="858">
      <c r="F858" s="12"/>
      <c r="M858" s="12"/>
    </row>
    <row r="859">
      <c r="F859" s="12"/>
      <c r="M859" s="12"/>
    </row>
    <row r="860">
      <c r="F860" s="12"/>
      <c r="M860" s="12"/>
    </row>
    <row r="861">
      <c r="F861" s="12"/>
      <c r="M861" s="12"/>
    </row>
    <row r="862">
      <c r="F862" s="12"/>
      <c r="M862" s="12"/>
    </row>
    <row r="863">
      <c r="F863" s="12"/>
      <c r="M863" s="12"/>
    </row>
    <row r="864">
      <c r="F864" s="12"/>
      <c r="M864" s="12"/>
    </row>
    <row r="865">
      <c r="F865" s="12"/>
      <c r="M865" s="12"/>
    </row>
    <row r="866">
      <c r="F866" s="12"/>
      <c r="M866" s="12"/>
    </row>
    <row r="867">
      <c r="F867" s="12"/>
      <c r="M867" s="12"/>
    </row>
    <row r="868">
      <c r="F868" s="12"/>
      <c r="M868" s="12"/>
    </row>
    <row r="869">
      <c r="F869" s="12"/>
      <c r="M869" s="12"/>
    </row>
    <row r="870">
      <c r="F870" s="12"/>
      <c r="M870" s="12"/>
    </row>
    <row r="871">
      <c r="F871" s="12"/>
      <c r="M871" s="12"/>
    </row>
    <row r="872">
      <c r="F872" s="12"/>
      <c r="M872" s="12"/>
    </row>
    <row r="873">
      <c r="F873" s="12"/>
      <c r="M873" s="12"/>
    </row>
    <row r="874">
      <c r="F874" s="12"/>
      <c r="M874" s="12"/>
    </row>
    <row r="875">
      <c r="F875" s="12"/>
      <c r="M875" s="12"/>
    </row>
    <row r="876">
      <c r="F876" s="12"/>
      <c r="M876" s="12"/>
    </row>
    <row r="877">
      <c r="F877" s="12"/>
      <c r="M877" s="12"/>
    </row>
    <row r="878">
      <c r="F878" s="12"/>
      <c r="M878" s="12"/>
    </row>
    <row r="879">
      <c r="F879" s="12"/>
      <c r="M879" s="12"/>
    </row>
    <row r="880">
      <c r="F880" s="12"/>
      <c r="M880" s="12"/>
    </row>
    <row r="881">
      <c r="F881" s="12"/>
      <c r="M881" s="12"/>
    </row>
    <row r="882">
      <c r="F882" s="12"/>
      <c r="M882" s="12"/>
    </row>
    <row r="883">
      <c r="F883" s="12"/>
      <c r="M883" s="12"/>
    </row>
    <row r="884">
      <c r="F884" s="12"/>
      <c r="M884" s="12"/>
    </row>
    <row r="885">
      <c r="F885" s="12"/>
      <c r="M885" s="12"/>
    </row>
    <row r="886">
      <c r="F886" s="12"/>
      <c r="M886" s="12"/>
    </row>
    <row r="887">
      <c r="F887" s="12"/>
      <c r="M887" s="12"/>
    </row>
    <row r="888">
      <c r="F888" s="12"/>
      <c r="M888" s="12"/>
    </row>
    <row r="889">
      <c r="F889" s="12"/>
      <c r="M889" s="12"/>
    </row>
    <row r="890">
      <c r="F890" s="12"/>
      <c r="M890" s="12"/>
    </row>
    <row r="891">
      <c r="F891" s="12"/>
      <c r="M891" s="12"/>
    </row>
    <row r="892">
      <c r="F892" s="12"/>
      <c r="M892" s="12"/>
    </row>
    <row r="893">
      <c r="F893" s="12"/>
      <c r="M893" s="12"/>
    </row>
    <row r="894">
      <c r="F894" s="12"/>
      <c r="M894" s="12"/>
    </row>
    <row r="895">
      <c r="F895" s="12"/>
      <c r="M895" s="12"/>
    </row>
    <row r="896">
      <c r="F896" s="12"/>
      <c r="M896" s="12"/>
    </row>
    <row r="897">
      <c r="F897" s="12"/>
      <c r="M897" s="12"/>
    </row>
    <row r="898">
      <c r="F898" s="12"/>
      <c r="M898" s="12"/>
    </row>
    <row r="899">
      <c r="F899" s="12"/>
      <c r="M899" s="12"/>
    </row>
    <row r="900">
      <c r="F900" s="12"/>
      <c r="M900" s="12"/>
    </row>
    <row r="901">
      <c r="F901" s="12"/>
      <c r="M901" s="12"/>
    </row>
    <row r="902">
      <c r="F902" s="12"/>
      <c r="M902" s="12"/>
    </row>
    <row r="903">
      <c r="F903" s="12"/>
      <c r="M903" s="12"/>
    </row>
    <row r="904">
      <c r="F904" s="12"/>
      <c r="M904" s="12"/>
    </row>
    <row r="905">
      <c r="F905" s="12"/>
      <c r="M905" s="12"/>
    </row>
    <row r="906">
      <c r="F906" s="12"/>
      <c r="M906" s="12"/>
    </row>
    <row r="907">
      <c r="F907" s="12"/>
      <c r="M907" s="12"/>
    </row>
    <row r="908">
      <c r="F908" s="12"/>
      <c r="M908" s="12"/>
    </row>
    <row r="909">
      <c r="F909" s="12"/>
      <c r="M909" s="12"/>
    </row>
    <row r="910">
      <c r="F910" s="12"/>
      <c r="M910" s="12"/>
    </row>
    <row r="911">
      <c r="F911" s="12"/>
      <c r="M911" s="12"/>
    </row>
    <row r="912">
      <c r="F912" s="12"/>
      <c r="M912" s="12"/>
    </row>
    <row r="913">
      <c r="F913" s="12"/>
      <c r="M913" s="12"/>
    </row>
    <row r="914">
      <c r="F914" s="12"/>
      <c r="M914" s="12"/>
    </row>
    <row r="915">
      <c r="F915" s="12"/>
      <c r="M915" s="12"/>
    </row>
    <row r="916">
      <c r="F916" s="12"/>
      <c r="M916" s="12"/>
    </row>
    <row r="917">
      <c r="F917" s="12"/>
      <c r="M917" s="12"/>
    </row>
    <row r="918">
      <c r="F918" s="12"/>
      <c r="M918" s="12"/>
    </row>
    <row r="919">
      <c r="F919" s="12"/>
      <c r="M919" s="12"/>
    </row>
    <row r="920">
      <c r="F920" s="12"/>
      <c r="M920" s="12"/>
    </row>
    <row r="921">
      <c r="F921" s="12"/>
      <c r="M921" s="12"/>
    </row>
    <row r="922">
      <c r="F922" s="12"/>
      <c r="M922" s="12"/>
    </row>
    <row r="923">
      <c r="F923" s="12"/>
      <c r="M923" s="12"/>
    </row>
    <row r="924">
      <c r="F924" s="12"/>
      <c r="M924" s="12"/>
    </row>
    <row r="925">
      <c r="F925" s="12"/>
      <c r="M925" s="12"/>
    </row>
    <row r="926">
      <c r="F926" s="12"/>
      <c r="M926" s="12"/>
    </row>
    <row r="927">
      <c r="F927" s="12"/>
      <c r="M927" s="12"/>
    </row>
    <row r="928">
      <c r="F928" s="12"/>
      <c r="M928" s="12"/>
    </row>
    <row r="929">
      <c r="F929" s="12"/>
      <c r="M929" s="12"/>
    </row>
    <row r="930">
      <c r="F930" s="12"/>
      <c r="M930" s="12"/>
    </row>
    <row r="931">
      <c r="F931" s="12"/>
      <c r="M931" s="12"/>
    </row>
    <row r="932">
      <c r="F932" s="12"/>
      <c r="M932" s="12"/>
    </row>
    <row r="933">
      <c r="F933" s="12"/>
      <c r="M933" s="12"/>
    </row>
    <row r="934">
      <c r="F934" s="12"/>
      <c r="M934" s="12"/>
    </row>
    <row r="935">
      <c r="F935" s="12"/>
      <c r="M935" s="12"/>
    </row>
    <row r="936">
      <c r="F936" s="12"/>
      <c r="M936" s="12"/>
    </row>
    <row r="937">
      <c r="F937" s="12"/>
      <c r="M937" s="12"/>
    </row>
    <row r="938">
      <c r="F938" s="12"/>
      <c r="M938" s="12"/>
    </row>
    <row r="939">
      <c r="F939" s="12"/>
      <c r="M939" s="12"/>
    </row>
    <row r="940">
      <c r="F940" s="12"/>
      <c r="M940" s="12"/>
    </row>
    <row r="941">
      <c r="F941" s="12"/>
      <c r="M941" s="12"/>
    </row>
    <row r="942">
      <c r="F942" s="12"/>
      <c r="M942" s="12"/>
    </row>
    <row r="943">
      <c r="F943" s="12"/>
      <c r="M943" s="12"/>
    </row>
    <row r="944">
      <c r="F944" s="12"/>
      <c r="M944" s="12"/>
    </row>
    <row r="945">
      <c r="F945" s="12"/>
      <c r="M945" s="12"/>
    </row>
    <row r="946">
      <c r="F946" s="12"/>
      <c r="M946" s="12"/>
    </row>
    <row r="947">
      <c r="F947" s="12"/>
      <c r="M947" s="12"/>
    </row>
    <row r="948">
      <c r="F948" s="12"/>
      <c r="M948" s="12"/>
    </row>
    <row r="949">
      <c r="F949" s="12"/>
      <c r="M949" s="12"/>
    </row>
    <row r="950">
      <c r="F950" s="12"/>
      <c r="M950" s="12"/>
    </row>
    <row r="951">
      <c r="F951" s="12"/>
      <c r="M951" s="12"/>
    </row>
    <row r="952">
      <c r="F952" s="12"/>
      <c r="M952" s="12"/>
    </row>
    <row r="953">
      <c r="F953" s="12"/>
      <c r="M953" s="12"/>
    </row>
    <row r="954">
      <c r="F954" s="12"/>
      <c r="M954" s="12"/>
    </row>
    <row r="955">
      <c r="F955" s="12"/>
      <c r="M955" s="12"/>
    </row>
    <row r="956">
      <c r="F956" s="12"/>
      <c r="M956" s="12"/>
    </row>
    <row r="957">
      <c r="F957" s="12"/>
      <c r="M957" s="12"/>
    </row>
    <row r="958">
      <c r="F958" s="12"/>
      <c r="M958" s="12"/>
    </row>
    <row r="959">
      <c r="F959" s="12"/>
      <c r="M959" s="12"/>
    </row>
    <row r="960">
      <c r="F960" s="12"/>
      <c r="M960" s="12"/>
    </row>
    <row r="961">
      <c r="F961" s="12"/>
      <c r="M961" s="12"/>
    </row>
    <row r="962">
      <c r="F962" s="12"/>
      <c r="M962" s="12"/>
    </row>
    <row r="963">
      <c r="F963" s="12"/>
      <c r="M963" s="12"/>
    </row>
    <row r="964">
      <c r="F964" s="12"/>
      <c r="M964" s="12"/>
    </row>
    <row r="965">
      <c r="F965" s="12"/>
      <c r="M965" s="12"/>
    </row>
    <row r="966">
      <c r="F966" s="12"/>
      <c r="M966" s="12"/>
    </row>
    <row r="967">
      <c r="F967" s="12"/>
      <c r="M967" s="12"/>
    </row>
    <row r="968">
      <c r="F968" s="12"/>
      <c r="M968" s="12"/>
    </row>
    <row r="969">
      <c r="F969" s="12"/>
      <c r="M969" s="12"/>
    </row>
    <row r="970">
      <c r="F970" s="12"/>
      <c r="M970" s="12"/>
    </row>
    <row r="971">
      <c r="F971" s="12"/>
      <c r="M971" s="12"/>
    </row>
    <row r="972">
      <c r="F972" s="12"/>
      <c r="M972" s="12"/>
    </row>
    <row r="973">
      <c r="F973" s="12"/>
      <c r="M973" s="12"/>
    </row>
    <row r="974">
      <c r="F974" s="12"/>
      <c r="M974" s="12"/>
    </row>
    <row r="975">
      <c r="F975" s="12"/>
      <c r="M975" s="12"/>
    </row>
    <row r="976">
      <c r="F976" s="12"/>
      <c r="M976" s="12"/>
    </row>
    <row r="977">
      <c r="F977" s="12"/>
      <c r="M977" s="12"/>
    </row>
    <row r="978">
      <c r="F978" s="12"/>
      <c r="M978" s="12"/>
    </row>
    <row r="979">
      <c r="F979" s="12"/>
      <c r="M979" s="12"/>
    </row>
    <row r="980">
      <c r="F980" s="12"/>
      <c r="M980" s="12"/>
    </row>
    <row r="981">
      <c r="F981" s="12"/>
      <c r="M981" s="12"/>
    </row>
    <row r="982">
      <c r="F982" s="12"/>
      <c r="M982" s="12"/>
    </row>
    <row r="983">
      <c r="F983" s="12"/>
      <c r="M983" s="12"/>
    </row>
    <row r="984">
      <c r="F984" s="12"/>
      <c r="M984" s="12"/>
    </row>
    <row r="985">
      <c r="F985" s="12"/>
      <c r="M985" s="12"/>
    </row>
    <row r="986">
      <c r="F986" s="12"/>
      <c r="M986" s="12"/>
    </row>
    <row r="987">
      <c r="F987" s="12"/>
      <c r="M987" s="12"/>
    </row>
    <row r="988">
      <c r="F988" s="12"/>
      <c r="M988" s="12"/>
    </row>
    <row r="989">
      <c r="F989" s="12"/>
      <c r="M989" s="12"/>
    </row>
    <row r="990">
      <c r="F990" s="12"/>
      <c r="M990" s="12"/>
    </row>
    <row r="991">
      <c r="F991" s="12"/>
      <c r="M991" s="12"/>
    </row>
    <row r="992">
      <c r="F992" s="12"/>
      <c r="M992" s="12"/>
    </row>
    <row r="993">
      <c r="F993" s="12"/>
      <c r="M993" s="12"/>
    </row>
    <row r="994">
      <c r="F994" s="12"/>
      <c r="M994" s="12"/>
    </row>
    <row r="995">
      <c r="F995" s="12"/>
      <c r="M995" s="12"/>
    </row>
    <row r="996">
      <c r="F996" s="12"/>
      <c r="M996" s="12"/>
    </row>
    <row r="997">
      <c r="F997" s="12"/>
      <c r="M997" s="12"/>
    </row>
    <row r="998">
      <c r="F998" s="12"/>
      <c r="M998" s="12"/>
    </row>
    <row r="999">
      <c r="F999" s="12"/>
      <c r="M999" s="12"/>
    </row>
  </sheetData>
  <drawing r:id="rId2"/>
  <legacyDrawing r:id="rId3"/>
</worksheet>
</file>