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86" windowWidth="15360" windowHeight="9225" tabRatio="869" activeTab="0"/>
  </bookViews>
  <sheets>
    <sheet name="Tran" sheetId="1" r:id="rId1"/>
    <sheet name="29D-9J" sheetId="2" r:id="rId2"/>
    <sheet name="12J-16J" sheetId="3" r:id="rId3"/>
    <sheet name="Perf." sheetId="4" r:id="rId4"/>
    <sheet name="%CHG" sheetId="5" r:id="rId5"/>
    <sheet name="Return" sheetId="6" r:id="rId6"/>
  </sheets>
  <definedNames/>
  <calcPr fullCalcOnLoad="1"/>
</workbook>
</file>

<file path=xl/sharedStrings.xml><?xml version="1.0" encoding="utf-8"?>
<sst xmlns="http://schemas.openxmlformats.org/spreadsheetml/2006/main" count="2418" uniqueCount="502">
  <si>
    <t>DATE</t>
  </si>
  <si>
    <t>TRANSACTION</t>
  </si>
  <si>
    <t>NAME</t>
  </si>
  <si>
    <t>B/S</t>
  </si>
  <si>
    <t>QUANTITY</t>
  </si>
  <si>
    <t>PRICE</t>
  </si>
  <si>
    <t>COM</t>
  </si>
  <si>
    <t>VAT</t>
  </si>
  <si>
    <t>AMOUNT</t>
  </si>
  <si>
    <t>COST PRICE</t>
  </si>
  <si>
    <t>MK PRICE</t>
  </si>
  <si>
    <t>MK VALUE</t>
  </si>
  <si>
    <t>% OF NAV</t>
  </si>
  <si>
    <t>RAM</t>
  </si>
  <si>
    <t>NET BUY</t>
  </si>
  <si>
    <t>NAV</t>
  </si>
  <si>
    <t>BUY</t>
  </si>
  <si>
    <t>TUE 22/10/02</t>
  </si>
  <si>
    <t>TOTAL ASSET VALUE</t>
  </si>
  <si>
    <t>PERFORMANCE</t>
  </si>
  <si>
    <t>CHANGE</t>
  </si>
  <si>
    <t>PERCENT</t>
  </si>
  <si>
    <t>SET</t>
  </si>
  <si>
    <t>22/10</t>
  </si>
  <si>
    <t>RETURN SINCE INCEPTION</t>
  </si>
  <si>
    <t>21/10</t>
  </si>
  <si>
    <t>MON 21/10/02</t>
  </si>
  <si>
    <t>VARO</t>
  </si>
  <si>
    <t>ROJANA</t>
  </si>
  <si>
    <t>PATKOL</t>
  </si>
  <si>
    <t>NAV / UNIT</t>
  </si>
  <si>
    <t>TOTAL MARKET VALUE</t>
  </si>
  <si>
    <t>THU 24/10/02</t>
  </si>
  <si>
    <t>SELL</t>
  </si>
  <si>
    <t>NET SELL</t>
  </si>
  <si>
    <t>24/10</t>
  </si>
  <si>
    <t>FRI 25/10/02</t>
  </si>
  <si>
    <t>25/10</t>
  </si>
  <si>
    <t>MON 28/10/02</t>
  </si>
  <si>
    <t>28/10</t>
  </si>
  <si>
    <t>TUE 29/10/02</t>
  </si>
  <si>
    <t>29/10</t>
  </si>
  <si>
    <t>30/10</t>
  </si>
  <si>
    <t>31/10</t>
  </si>
  <si>
    <t>1/11</t>
  </si>
  <si>
    <t>MON 04/11/02</t>
  </si>
  <si>
    <t>4/11</t>
  </si>
  <si>
    <t>5/11</t>
  </si>
  <si>
    <t>6/11</t>
  </si>
  <si>
    <t>7/11</t>
  </si>
  <si>
    <t>FRI 08/11/02</t>
  </si>
  <si>
    <t>8/11</t>
  </si>
  <si>
    <t>MON 11/11/02</t>
  </si>
  <si>
    <t>11/11</t>
  </si>
  <si>
    <t>TUE 12/11/02</t>
  </si>
  <si>
    <t>12/11</t>
  </si>
  <si>
    <t>13/11</t>
  </si>
  <si>
    <t>14/11</t>
  </si>
  <si>
    <t>FRI 15/11/02</t>
  </si>
  <si>
    <t>15/11</t>
  </si>
  <si>
    <t>MON 18/11/02</t>
  </si>
  <si>
    <t>18/11</t>
  </si>
  <si>
    <t>19/11</t>
  </si>
  <si>
    <t>TUE 19/11/02</t>
  </si>
  <si>
    <t>THU 21/11/02</t>
  </si>
  <si>
    <t>FRI 22/11/02</t>
  </si>
  <si>
    <t>20/11</t>
  </si>
  <si>
    <t>21/11</t>
  </si>
  <si>
    <t>22/11</t>
  </si>
  <si>
    <t>25/11</t>
  </si>
  <si>
    <t>TUE 26/11/02</t>
  </si>
  <si>
    <t>26/11</t>
  </si>
  <si>
    <t>27/11</t>
  </si>
  <si>
    <t>FRI 29/11/02</t>
  </si>
  <si>
    <t>28/11</t>
  </si>
  <si>
    <t>29/11</t>
  </si>
  <si>
    <t>2/12</t>
  </si>
  <si>
    <t>3/12</t>
  </si>
  <si>
    <t>4/12</t>
  </si>
  <si>
    <t>6/12</t>
  </si>
  <si>
    <t>9/12</t>
  </si>
  <si>
    <t>WED 11/12/02</t>
  </si>
  <si>
    <t>11/12</t>
  </si>
  <si>
    <t>12/12</t>
  </si>
  <si>
    <t>13/12</t>
  </si>
  <si>
    <t>16/12</t>
  </si>
  <si>
    <t>17/12</t>
  </si>
  <si>
    <t>TUE 17/12/02</t>
  </si>
  <si>
    <t>CEI</t>
  </si>
  <si>
    <t>WED 18/12/02</t>
  </si>
  <si>
    <t>SITHAI</t>
  </si>
  <si>
    <t>18/12</t>
  </si>
  <si>
    <t>THU 19/12/02</t>
  </si>
  <si>
    <t>19/12</t>
  </si>
  <si>
    <t>FRI 20/12/02</t>
  </si>
  <si>
    <t>20/12</t>
  </si>
  <si>
    <t>MON 23/12/02</t>
  </si>
  <si>
    <t>23/12</t>
  </si>
  <si>
    <t>TUE 24/12/02</t>
  </si>
  <si>
    <t>TRAF-W1</t>
  </si>
  <si>
    <t>AEONTS</t>
  </si>
  <si>
    <t>24/12</t>
  </si>
  <si>
    <t>WED 25/12/02</t>
  </si>
  <si>
    <t>25/12</t>
  </si>
  <si>
    <t>THU 26/12/02</t>
  </si>
  <si>
    <t>26/12</t>
  </si>
  <si>
    <t>FRI 27/12/02</t>
  </si>
  <si>
    <t>27/12</t>
  </si>
  <si>
    <t>2/1</t>
  </si>
  <si>
    <t>FRI  03/01/03</t>
  </si>
  <si>
    <t>3/1</t>
  </si>
  <si>
    <t>6/1</t>
  </si>
  <si>
    <t>TUE 07/01/03</t>
  </si>
  <si>
    <t>7/1</t>
  </si>
  <si>
    <t>WED 08/01/03</t>
  </si>
  <si>
    <t>8/1</t>
  </si>
  <si>
    <t>9/1</t>
  </si>
  <si>
    <t>FRI 10/01/03</t>
  </si>
  <si>
    <t>10/1</t>
  </si>
  <si>
    <t>MON 13/01/03</t>
  </si>
  <si>
    <t>TUE 14/01/03</t>
  </si>
  <si>
    <t>13/1</t>
  </si>
  <si>
    <t>14/1</t>
  </si>
  <si>
    <t>15/1</t>
  </si>
  <si>
    <t>16/1</t>
  </si>
  <si>
    <t>17/1</t>
  </si>
  <si>
    <t>20/1</t>
  </si>
  <si>
    <t>21/1</t>
  </si>
  <si>
    <t>22/1</t>
  </si>
  <si>
    <t>23/1</t>
  </si>
  <si>
    <t>BAT-3K</t>
  </si>
  <si>
    <t>FRI 24/01/03</t>
  </si>
  <si>
    <t>24/1</t>
  </si>
  <si>
    <t>SUBSCRIPTION</t>
  </si>
  <si>
    <t>27/1</t>
  </si>
  <si>
    <t>TUE 28/01/03</t>
  </si>
  <si>
    <t>28/1</t>
  </si>
  <si>
    <t>WED 29/01/03</t>
  </si>
  <si>
    <t>SPL</t>
  </si>
  <si>
    <t>29/1</t>
  </si>
  <si>
    <t>30/1</t>
  </si>
  <si>
    <t>31/1</t>
  </si>
  <si>
    <t>3/2</t>
  </si>
  <si>
    <t>4/2</t>
  </si>
  <si>
    <t>5/2</t>
  </si>
  <si>
    <t>6/2</t>
  </si>
  <si>
    <t>7/2</t>
  </si>
  <si>
    <t>MON 10/02/03</t>
  </si>
  <si>
    <t>TIPCO</t>
  </si>
  <si>
    <t>10/2</t>
  </si>
  <si>
    <t>11/2</t>
  </si>
  <si>
    <t>REDEMPTION</t>
  </si>
  <si>
    <t>WED 12/02/03</t>
  </si>
  <si>
    <t>VNT</t>
  </si>
  <si>
    <t>SIKRIN</t>
  </si>
  <si>
    <t>12/2</t>
  </si>
  <si>
    <t>13/2</t>
  </si>
  <si>
    <t>THU 13/02/03</t>
  </si>
  <si>
    <t>FRI 14/02/03</t>
  </si>
  <si>
    <t>14/2</t>
  </si>
  <si>
    <t>SPL-W2</t>
  </si>
  <si>
    <t>TUE 18/02/03</t>
  </si>
  <si>
    <t>18/2</t>
  </si>
  <si>
    <t>WED 19/02/03</t>
  </si>
  <si>
    <t>TRAF</t>
  </si>
  <si>
    <t>19/2</t>
  </si>
  <si>
    <t>20/2</t>
  </si>
  <si>
    <t>21/2</t>
  </si>
  <si>
    <t>MON 24/02/03</t>
  </si>
  <si>
    <t>24/2</t>
  </si>
  <si>
    <t>TUE 25/02/03</t>
  </si>
  <si>
    <t>25/2</t>
  </si>
  <si>
    <t>WED 26/02/03</t>
  </si>
  <si>
    <t>26/2</t>
  </si>
  <si>
    <t>27/2</t>
  </si>
  <si>
    <t>THU 27/02/03</t>
  </si>
  <si>
    <t>28/2</t>
  </si>
  <si>
    <t>MON 3/03/03</t>
  </si>
  <si>
    <t>3/03</t>
  </si>
  <si>
    <t>4/03</t>
  </si>
  <si>
    <t>WEALTH</t>
  </si>
  <si>
    <t>BALANCE IN ACCOUNT</t>
  </si>
  <si>
    <t>TUE 4/03/03</t>
  </si>
  <si>
    <t>WED 5/03/03</t>
  </si>
  <si>
    <t>THU 6/03/03</t>
  </si>
  <si>
    <t>5/03</t>
  </si>
  <si>
    <t>6/03</t>
  </si>
  <si>
    <t>FRI 7/03/03</t>
  </si>
  <si>
    <t>7/03</t>
  </si>
  <si>
    <t>10/3</t>
  </si>
  <si>
    <t>TUE 11/03/03</t>
  </si>
  <si>
    <t>11/3</t>
  </si>
  <si>
    <t>12/3</t>
  </si>
  <si>
    <t>13/3</t>
  </si>
  <si>
    <t>14/3</t>
  </si>
  <si>
    <t>17/3</t>
  </si>
  <si>
    <t>18/3</t>
  </si>
  <si>
    <t>19/3</t>
  </si>
  <si>
    <t>THU 20/03/03</t>
  </si>
  <si>
    <t>QH-W2</t>
  </si>
  <si>
    <t>20/3</t>
  </si>
  <si>
    <t>FRI 21/03/03</t>
  </si>
  <si>
    <t>MLINK</t>
  </si>
  <si>
    <t>21/3</t>
  </si>
  <si>
    <t>NLINK</t>
  </si>
  <si>
    <t>MON 24/03/03</t>
  </si>
  <si>
    <t>24/3</t>
  </si>
  <si>
    <t>WED 26/03/03</t>
  </si>
  <si>
    <t>25/3</t>
  </si>
  <si>
    <t>26/3</t>
  </si>
  <si>
    <t>27/3</t>
  </si>
  <si>
    <t>MON 31/03/03</t>
  </si>
  <si>
    <t>28/3</t>
  </si>
  <si>
    <t>31/3</t>
  </si>
  <si>
    <t>1/4</t>
  </si>
  <si>
    <t>WED 2/04/03</t>
  </si>
  <si>
    <t>2/4</t>
  </si>
  <si>
    <t>3/4</t>
  </si>
  <si>
    <t>FRI 4/04/03</t>
  </si>
  <si>
    <t>4/4</t>
  </si>
  <si>
    <t>TUE 8/04/03</t>
  </si>
  <si>
    <t>8/4</t>
  </si>
  <si>
    <t>WED 9/04/03</t>
  </si>
  <si>
    <t>KDH</t>
  </si>
  <si>
    <t>9/4</t>
  </si>
  <si>
    <t>10/4</t>
  </si>
  <si>
    <t>11/4</t>
  </si>
  <si>
    <t>16/4</t>
  </si>
  <si>
    <t>17/4</t>
  </si>
  <si>
    <t>18/4</t>
  </si>
  <si>
    <t>21/4</t>
  </si>
  <si>
    <t>22/4</t>
  </si>
  <si>
    <t>PTTEP</t>
  </si>
  <si>
    <t>23/4</t>
  </si>
  <si>
    <t>KBANK</t>
  </si>
  <si>
    <t>24/4</t>
  </si>
  <si>
    <t>25/4</t>
  </si>
  <si>
    <t>MON 21/04/03</t>
  </si>
  <si>
    <t>WED 23/04/03</t>
  </si>
  <si>
    <t>THU 24/04/03</t>
  </si>
  <si>
    <t>MON 28/04/03</t>
  </si>
  <si>
    <t>TCB</t>
  </si>
  <si>
    <t>KBANK-F</t>
  </si>
  <si>
    <t>TUE 29/04/03</t>
  </si>
  <si>
    <t>28/4</t>
  </si>
  <si>
    <t>29/4</t>
  </si>
  <si>
    <t>30/4</t>
  </si>
  <si>
    <t>WED 30/04/03</t>
  </si>
  <si>
    <t>FRI 2/05/03</t>
  </si>
  <si>
    <t>2/5</t>
  </si>
  <si>
    <t>TUE 6/05/03</t>
  </si>
  <si>
    <t>6/5</t>
  </si>
  <si>
    <t>WED 7/05/03</t>
  </si>
  <si>
    <t>DCC</t>
  </si>
  <si>
    <t>LALIN</t>
  </si>
  <si>
    <t>SPI</t>
  </si>
  <si>
    <t>7/5</t>
  </si>
  <si>
    <t>THU 8/05/03</t>
  </si>
  <si>
    <t>8/5</t>
  </si>
  <si>
    <t>FRI 9/05/03</t>
  </si>
  <si>
    <t>9/5</t>
  </si>
  <si>
    <t>12/5</t>
  </si>
  <si>
    <t>MON 12/05/03</t>
  </si>
  <si>
    <t>13/5</t>
  </si>
  <si>
    <t>WED 14/05/03</t>
  </si>
  <si>
    <t>14/5</t>
  </si>
  <si>
    <t>16/5</t>
  </si>
  <si>
    <t>19/5</t>
  </si>
  <si>
    <t>20/5</t>
  </si>
  <si>
    <t>21/5</t>
  </si>
  <si>
    <t>22/5</t>
  </si>
  <si>
    <t>FRI 23/05/03</t>
  </si>
  <si>
    <t>23/5</t>
  </si>
  <si>
    <t>26/5</t>
  </si>
  <si>
    <t>27/5</t>
  </si>
  <si>
    <t>28/5</t>
  </si>
  <si>
    <t>29/5</t>
  </si>
  <si>
    <t>30/5</t>
  </si>
  <si>
    <t>FRI 30/05/03</t>
  </si>
  <si>
    <t>PF-W2</t>
  </si>
  <si>
    <t>2/6</t>
  </si>
  <si>
    <t>TUE 3/06/03</t>
  </si>
  <si>
    <t>BGH</t>
  </si>
  <si>
    <t>3/6</t>
  </si>
  <si>
    <t>WED 4/06/03</t>
  </si>
  <si>
    <t>4/6</t>
  </si>
  <si>
    <t>THU 5/06/03</t>
  </si>
  <si>
    <t>5/6</t>
  </si>
  <si>
    <t>6/6</t>
  </si>
  <si>
    <t>9/6</t>
  </si>
  <si>
    <t>TUE 10/06/03</t>
  </si>
  <si>
    <t>10/6</t>
  </si>
  <si>
    <t>WED 11/06/03</t>
  </si>
  <si>
    <t>11/6</t>
  </si>
  <si>
    <t>12/6</t>
  </si>
  <si>
    <t>13/6</t>
  </si>
  <si>
    <t>16/6</t>
  </si>
  <si>
    <t>17/6</t>
  </si>
  <si>
    <t>WED 18/06/03</t>
  </si>
  <si>
    <t>APC</t>
  </si>
  <si>
    <t>PF</t>
  </si>
  <si>
    <t>THU 19/06/03</t>
  </si>
  <si>
    <t>18/6</t>
  </si>
  <si>
    <t>19/6</t>
  </si>
  <si>
    <t>20/6</t>
  </si>
  <si>
    <t>23/6</t>
  </si>
  <si>
    <t>TUE 24/06/03</t>
  </si>
  <si>
    <t>24/6</t>
  </si>
  <si>
    <t>WED 25/06/03</t>
  </si>
  <si>
    <t>25/6</t>
  </si>
  <si>
    <t>26/6</t>
  </si>
  <si>
    <t>FRI 27/06/03</t>
  </si>
  <si>
    <t>27/6</t>
  </si>
  <si>
    <t>30/6</t>
  </si>
  <si>
    <t>WED 2/07/03</t>
  </si>
  <si>
    <t>2/7</t>
  </si>
  <si>
    <t>THU 3/07/03</t>
  </si>
  <si>
    <t>3/7</t>
  </si>
  <si>
    <t>4/7</t>
  </si>
  <si>
    <t>MON 7/07/03</t>
  </si>
  <si>
    <t>UV</t>
  </si>
  <si>
    <t>7/7</t>
  </si>
  <si>
    <t>TUE 8/07/03</t>
  </si>
  <si>
    <t>8/7</t>
  </si>
  <si>
    <t>BALANCE AFTER T+3 SETTLEMENT</t>
  </si>
  <si>
    <t>WED 9/07/03</t>
  </si>
  <si>
    <t>9/7</t>
  </si>
  <si>
    <t>THU 10/07/03</t>
  </si>
  <si>
    <t>RATCH</t>
  </si>
  <si>
    <t>10/7</t>
  </si>
  <si>
    <t>FRI 11/07/03</t>
  </si>
  <si>
    <t>SVI-W1</t>
  </si>
  <si>
    <t>11/7</t>
  </si>
  <si>
    <t>TUE 15/07/03</t>
  </si>
  <si>
    <t>TUF</t>
  </si>
  <si>
    <t>LPN-W1</t>
  </si>
  <si>
    <t>15/7</t>
  </si>
  <si>
    <t>WED 16/07/03</t>
  </si>
  <si>
    <t>16/7</t>
  </si>
  <si>
    <t>THU 17/07/03</t>
  </si>
  <si>
    <t>MIDA</t>
  </si>
  <si>
    <t>17/7</t>
  </si>
  <si>
    <t>FRI 18/07/03</t>
  </si>
  <si>
    <t>TUF-F</t>
  </si>
  <si>
    <t>18/7</t>
  </si>
  <si>
    <t>MON 21/07/03</t>
  </si>
  <si>
    <t>CPF</t>
  </si>
  <si>
    <t>21/7</t>
  </si>
  <si>
    <t>TUE 22/07/03</t>
  </si>
  <si>
    <t>22/7</t>
  </si>
  <si>
    <t>WED 23/07/03</t>
  </si>
  <si>
    <t>23/7</t>
  </si>
  <si>
    <t>24/7</t>
  </si>
  <si>
    <t>THU 24/07/03</t>
  </si>
  <si>
    <t>FRI 25/07/03</t>
  </si>
  <si>
    <t>25/7</t>
  </si>
  <si>
    <t>28/7</t>
  </si>
  <si>
    <t>29/7</t>
  </si>
  <si>
    <t>30/7</t>
  </si>
  <si>
    <t>31/7</t>
  </si>
  <si>
    <t>1/8</t>
  </si>
  <si>
    <t>MON 04/08/03</t>
  </si>
  <si>
    <t>4/8</t>
  </si>
  <si>
    <t>5/8</t>
  </si>
  <si>
    <t>6/8</t>
  </si>
  <si>
    <t>WED 06/08/03</t>
  </si>
  <si>
    <t>THU 07/08/03</t>
  </si>
  <si>
    <t>SHIN-W1</t>
  </si>
  <si>
    <t>7/8</t>
  </si>
  <si>
    <t>FRI 08/08/03</t>
  </si>
  <si>
    <t>SHIN</t>
  </si>
  <si>
    <t>8/8</t>
  </si>
  <si>
    <t>DAY</t>
  </si>
  <si>
    <t>MON</t>
  </si>
  <si>
    <t>S</t>
  </si>
  <si>
    <t>B</t>
  </si>
  <si>
    <t>11/8</t>
  </si>
  <si>
    <t>WED</t>
  </si>
  <si>
    <t>13/8</t>
  </si>
  <si>
    <t>THU</t>
  </si>
  <si>
    <t>14/8</t>
  </si>
  <si>
    <t>FRI</t>
  </si>
  <si>
    <t>SSI</t>
  </si>
  <si>
    <t>15/8</t>
  </si>
  <si>
    <t>UR P/L</t>
  </si>
  <si>
    <t>CASH MANAGEMENT</t>
  </si>
  <si>
    <t>BEGINING CASH</t>
  </si>
  <si>
    <t>AVAILABLE ENDING CASH</t>
  </si>
  <si>
    <t>WITHDRAW</t>
  </si>
  <si>
    <t>DEPOSIT</t>
  </si>
  <si>
    <t>BEGINNING CASH</t>
  </si>
  <si>
    <t>ENDING SPENDABLE CASH</t>
  </si>
  <si>
    <t>TRANSFER TO FUND</t>
  </si>
  <si>
    <t>RECEIVE FROM FUND</t>
  </si>
  <si>
    <t>PORTFOLIO STATUS</t>
  </si>
  <si>
    <t>@</t>
  </si>
  <si>
    <t>BEG. ISSUED UNIT</t>
  </si>
  <si>
    <t>RECEIVE FROM FUND(WAITING)</t>
  </si>
  <si>
    <t>TRANSFER TO FUND (WAITING)</t>
  </si>
  <si>
    <t>UNITS IN REDEMPTION</t>
  </si>
  <si>
    <t>UNITS IN SUBCRIPTION</t>
  </si>
  <si>
    <t>18/8</t>
  </si>
  <si>
    <t>TUE</t>
  </si>
  <si>
    <t>BAFS</t>
  </si>
  <si>
    <t>MK</t>
  </si>
  <si>
    <t>LPN</t>
  </si>
  <si>
    <t>19/8</t>
  </si>
  <si>
    <t>20/8</t>
  </si>
  <si>
    <t>21/8</t>
  </si>
  <si>
    <t>22/8</t>
  </si>
  <si>
    <t>25/8</t>
  </si>
  <si>
    <t>26/8</t>
  </si>
  <si>
    <t>27/8</t>
  </si>
  <si>
    <t>28/8</t>
  </si>
  <si>
    <t>29/8</t>
  </si>
  <si>
    <t>REALIZE P/L</t>
  </si>
  <si>
    <t>1/9</t>
  </si>
  <si>
    <t>MBK</t>
  </si>
  <si>
    <t>2/9</t>
  </si>
  <si>
    <t>3/9</t>
  </si>
  <si>
    <t>PRANDA-W</t>
  </si>
  <si>
    <t>EGV</t>
  </si>
  <si>
    <t>4/9</t>
  </si>
  <si>
    <t>5/9</t>
  </si>
  <si>
    <t>REMAINDER ISSUED UNIT</t>
  </si>
  <si>
    <t>8/9</t>
  </si>
  <si>
    <t>9/9</t>
  </si>
  <si>
    <t>10/9</t>
  </si>
  <si>
    <t>11/9</t>
  </si>
  <si>
    <t>RCI</t>
  </si>
  <si>
    <t>12/9</t>
  </si>
  <si>
    <t>15/9</t>
  </si>
  <si>
    <t>PA</t>
  </si>
  <si>
    <t>16/9</t>
  </si>
  <si>
    <t>17/9</t>
  </si>
  <si>
    <t>18/9</t>
  </si>
  <si>
    <t>19/9</t>
  </si>
  <si>
    <t>ESTAR-W1</t>
  </si>
  <si>
    <t>22/9</t>
  </si>
  <si>
    <t>TRU</t>
  </si>
  <si>
    <t>23/9</t>
  </si>
  <si>
    <t>24/9</t>
  </si>
  <si>
    <t>25/9</t>
  </si>
  <si>
    <t>26/9</t>
  </si>
  <si>
    <t>29/9</t>
  </si>
  <si>
    <t>30/9</t>
  </si>
  <si>
    <t>1/10</t>
  </si>
  <si>
    <t>2/10</t>
  </si>
  <si>
    <t>ESTAR</t>
  </si>
  <si>
    <t>3/10</t>
  </si>
  <si>
    <t>6/10</t>
  </si>
  <si>
    <t>7/10</t>
  </si>
  <si>
    <t>8/10</t>
  </si>
  <si>
    <t>9/10</t>
  </si>
  <si>
    <t>SAMART</t>
  </si>
  <si>
    <t>10/10</t>
  </si>
  <si>
    <t>13/10</t>
  </si>
  <si>
    <t>14/10</t>
  </si>
  <si>
    <t>15/10</t>
  </si>
  <si>
    <t>16/10</t>
  </si>
  <si>
    <t>17/10</t>
  </si>
  <si>
    <t>20/10</t>
  </si>
  <si>
    <t>SICCO</t>
  </si>
  <si>
    <t>STECON-W</t>
  </si>
  <si>
    <t>PAF</t>
  </si>
  <si>
    <t>ASSET</t>
  </si>
  <si>
    <t>27/10</t>
  </si>
  <si>
    <t>TICON</t>
  </si>
  <si>
    <t>SUC</t>
  </si>
  <si>
    <t>SICCO-W2</t>
  </si>
  <si>
    <t>WG</t>
  </si>
  <si>
    <t>3/11</t>
  </si>
  <si>
    <t>KTP</t>
  </si>
  <si>
    <t>TMB</t>
  </si>
  <si>
    <t>10/11</t>
  </si>
  <si>
    <t>17/11</t>
  </si>
  <si>
    <t>NSM-W1</t>
  </si>
  <si>
    <t>24/11</t>
  </si>
  <si>
    <t>1/12</t>
  </si>
  <si>
    <t>QH-W3</t>
  </si>
  <si>
    <t>QH</t>
  </si>
  <si>
    <t>LOXLEY</t>
  </si>
  <si>
    <t>SAMTEL</t>
  </si>
  <si>
    <t>SIM</t>
  </si>
  <si>
    <t>8/12</t>
  </si>
  <si>
    <t>15/12</t>
  </si>
  <si>
    <t>TTTM</t>
  </si>
  <si>
    <t>22/12</t>
  </si>
  <si>
    <t>AP</t>
  </si>
  <si>
    <t>BBL-F</t>
  </si>
  <si>
    <t>SVOA</t>
  </si>
  <si>
    <t>TPI</t>
  </si>
  <si>
    <t>29/12</t>
  </si>
  <si>
    <t>30/12</t>
  </si>
  <si>
    <t>31/12</t>
  </si>
  <si>
    <t>5/1</t>
  </si>
  <si>
    <t>NPC</t>
  </si>
  <si>
    <t>DELTA</t>
  </si>
  <si>
    <t>12/1</t>
  </si>
  <si>
    <t>ADVANC</t>
  </si>
  <si>
    <t>BANPU</t>
  </si>
  <si>
    <t>SIRI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</si>
</sst>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-* #,##0.0_-;\-* #,##0.0_-;_-* &quot;-&quot;??_-;_-@_-"/>
    <numFmt numFmtId="198" formatCode="_-* #,##0_-;\-* #,##0_-;_-* &quot;-&quot;??_-;_-@_-"/>
    <numFmt numFmtId="199" formatCode="0.0%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/d"/>
    <numFmt numFmtId="204" formatCode="00000"/>
    <numFmt numFmtId="205" formatCode="_-* #,##0.000_-;\-* #,##0.000_-;_-* &quot;-&quot;???_-;_-@_-"/>
    <numFmt numFmtId="206" formatCode="_-* #,##0.0000_-;\-* #,##0.0000_-;_-* &quot;-&quot;????_-;_-@_-"/>
    <numFmt numFmtId="207" formatCode="0.00000"/>
    <numFmt numFmtId="208" formatCode="0.0000"/>
    <numFmt numFmtId="209" formatCode="0.000"/>
    <numFmt numFmtId="210" formatCode="d\-mmm\-yy"/>
    <numFmt numFmtId="211" formatCode="_-* #,##0.000000000000_-;\-* #,##0.000000000000_-;_-* &quot;-&quot;????????????_-;_-@_-"/>
    <numFmt numFmtId="212" formatCode="_-* #,##0.00000000000_-;\-* #,##0.00000000000_-;_-* &quot;-&quot;???????????_-;_-@_-"/>
    <numFmt numFmtId="213" formatCode="d\-mmm"/>
    <numFmt numFmtId="214" formatCode="d\-mmm\-yyyy"/>
    <numFmt numFmtId="215" formatCode="_-* #,##0.0000000000_-;\-* #,##0.0000000000_-;_-* &quot;-&quot;??????????_-;_-@_-"/>
  </numFmts>
  <fonts count="29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0.5"/>
      <name val="Cordia New"/>
      <family val="2"/>
    </font>
    <font>
      <b/>
      <sz val="10"/>
      <name val="Cordia New"/>
      <family val="2"/>
    </font>
    <font>
      <sz val="29"/>
      <name val="Cordia New"/>
      <family val="0"/>
    </font>
    <font>
      <sz val="20.25"/>
      <name val="Cordia New"/>
      <family val="0"/>
    </font>
    <font>
      <sz val="15.25"/>
      <name val="Cordia New"/>
      <family val="2"/>
    </font>
    <font>
      <b/>
      <sz val="25"/>
      <name val="Cordia New"/>
      <family val="0"/>
    </font>
    <font>
      <b/>
      <sz val="11.75"/>
      <name val="Cordia New"/>
      <family val="2"/>
    </font>
    <font>
      <sz val="23.5"/>
      <name val="Cordia New"/>
      <family val="0"/>
    </font>
    <font>
      <sz val="24"/>
      <name val="Cordia New"/>
      <family val="0"/>
    </font>
    <font>
      <sz val="15"/>
      <name val="Cordia New"/>
      <family val="2"/>
    </font>
    <font>
      <sz val="12"/>
      <name val="Cordia New"/>
      <family val="2"/>
    </font>
    <font>
      <b/>
      <sz val="24"/>
      <name val="Cordia New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u val="singleAccounting"/>
      <sz val="8"/>
      <color indexed="9"/>
      <name val="Arial"/>
      <family val="2"/>
    </font>
    <font>
      <u val="single"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Accounting"/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98" fontId="17" fillId="0" borderId="0" xfId="15" applyNumberFormat="1" applyFont="1" applyBorder="1" applyAlignment="1">
      <alignment horizontal="center"/>
    </xf>
    <xf numFmtId="43" fontId="17" fillId="0" borderId="0" xfId="15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98" fontId="17" fillId="0" borderId="1" xfId="15" applyNumberFormat="1" applyFont="1" applyBorder="1" applyAlignment="1">
      <alignment horizontal="center"/>
    </xf>
    <xf numFmtId="43" fontId="17" fillId="0" borderId="1" xfId="15" applyFont="1" applyBorder="1" applyAlignment="1">
      <alignment horizontal="center"/>
    </xf>
    <xf numFmtId="43" fontId="18" fillId="2" borderId="1" xfId="15" applyFont="1" applyFill="1" applyBorder="1" applyAlignment="1">
      <alignment horizontal="center"/>
    </xf>
    <xf numFmtId="43" fontId="17" fillId="0" borderId="0" xfId="0" applyNumberFormat="1" applyFont="1" applyAlignment="1">
      <alignment horizontal="center"/>
    </xf>
    <xf numFmtId="43" fontId="19" fillId="0" borderId="0" xfId="0" applyNumberFormat="1" applyFont="1" applyAlignment="1">
      <alignment horizontal="center"/>
    </xf>
    <xf numFmtId="43" fontId="18" fillId="3" borderId="1" xfId="15" applyFont="1" applyFill="1" applyBorder="1" applyAlignment="1">
      <alignment horizontal="center"/>
    </xf>
    <xf numFmtId="43" fontId="17" fillId="2" borderId="1" xfId="15" applyFont="1" applyFill="1" applyBorder="1" applyAlignment="1">
      <alignment horizontal="center"/>
    </xf>
    <xf numFmtId="43" fontId="17" fillId="3" borderId="1" xfId="15" applyFont="1" applyFill="1" applyBorder="1" applyAlignment="1">
      <alignment horizontal="center"/>
    </xf>
    <xf numFmtId="43" fontId="17" fillId="0" borderId="1" xfId="0" applyNumberFormat="1" applyFont="1" applyBorder="1" applyAlignment="1">
      <alignment horizontal="center"/>
    </xf>
    <xf numFmtId="43" fontId="17" fillId="4" borderId="1" xfId="15" applyFont="1" applyFill="1" applyBorder="1" applyAlignment="1">
      <alignment horizontal="center"/>
    </xf>
    <xf numFmtId="43" fontId="19" fillId="0" borderId="0" xfId="0" applyNumberFormat="1" applyFont="1" applyFill="1" applyAlignment="1">
      <alignment horizontal="center"/>
    </xf>
    <xf numFmtId="43" fontId="20" fillId="0" borderId="0" xfId="0" applyNumberFormat="1" applyFont="1" applyAlignment="1">
      <alignment horizontal="center"/>
    </xf>
    <xf numFmtId="16" fontId="17" fillId="0" borderId="0" xfId="0" applyNumberFormat="1" applyFont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198" fontId="17" fillId="5" borderId="0" xfId="15" applyNumberFormat="1" applyFont="1" applyFill="1" applyBorder="1" applyAlignment="1">
      <alignment horizontal="center"/>
    </xf>
    <xf numFmtId="43" fontId="17" fillId="5" borderId="0" xfId="15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198" fontId="18" fillId="5" borderId="0" xfId="15" applyNumberFormat="1" applyFont="1" applyFill="1" applyBorder="1" applyAlignment="1">
      <alignment horizontal="center"/>
    </xf>
    <xf numFmtId="43" fontId="18" fillId="5" borderId="0" xfId="15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3" fontId="21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center"/>
    </xf>
    <xf numFmtId="198" fontId="17" fillId="0" borderId="2" xfId="15" applyNumberFormat="1" applyFont="1" applyBorder="1" applyAlignment="1">
      <alignment horizontal="center"/>
    </xf>
    <xf numFmtId="43" fontId="17" fillId="0" borderId="2" xfId="15" applyFont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198" fontId="15" fillId="6" borderId="1" xfId="15" applyNumberFormat="1" applyFont="1" applyFill="1" applyBorder="1" applyAlignment="1">
      <alignment horizontal="center"/>
    </xf>
    <xf numFmtId="43" fontId="15" fillId="6" borderId="1" xfId="15" applyFont="1" applyFill="1" applyBorder="1" applyAlignment="1">
      <alignment horizontal="center"/>
    </xf>
    <xf numFmtId="43" fontId="15" fillId="6" borderId="4" xfId="15" applyFont="1" applyFill="1" applyBorder="1" applyAlignment="1">
      <alignment horizontal="center"/>
    </xf>
    <xf numFmtId="43" fontId="17" fillId="2" borderId="0" xfId="15" applyFont="1" applyFill="1" applyBorder="1" applyAlignment="1">
      <alignment horizontal="center"/>
    </xf>
    <xf numFmtId="210" fontId="17" fillId="0" borderId="0" xfId="0" applyNumberFormat="1" applyFont="1" applyBorder="1" applyAlignment="1">
      <alignment horizontal="center"/>
    </xf>
    <xf numFmtId="43" fontId="16" fillId="0" borderId="0" xfId="15" applyFont="1" applyAlignment="1">
      <alignment horizontal="center"/>
    </xf>
    <xf numFmtId="43" fontId="17" fillId="0" borderId="0" xfId="15" applyFont="1" applyAlignment="1">
      <alignment horizontal="center"/>
    </xf>
    <xf numFmtId="3" fontId="17" fillId="0" borderId="0" xfId="15" applyNumberFormat="1" applyFont="1" applyBorder="1" applyAlignment="1">
      <alignment horizontal="center"/>
    </xf>
    <xf numFmtId="0" fontId="15" fillId="6" borderId="1" xfId="0" applyFont="1" applyFill="1" applyBorder="1" applyAlignment="1" quotePrefix="1">
      <alignment horizontal="center"/>
    </xf>
    <xf numFmtId="210" fontId="17" fillId="0" borderId="1" xfId="0" applyNumberFormat="1" applyFont="1" applyBorder="1" applyAlignment="1">
      <alignment horizontal="center"/>
    </xf>
    <xf numFmtId="3" fontId="17" fillId="0" borderId="1" xfId="15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49" fontId="22" fillId="7" borderId="5" xfId="0" applyNumberFormat="1" applyFont="1" applyFill="1" applyBorder="1" applyAlignment="1">
      <alignment horizontal="center"/>
    </xf>
    <xf numFmtId="201" fontId="22" fillId="8" borderId="6" xfId="15" applyNumberFormat="1" applyFont="1" applyFill="1" applyBorder="1" applyAlignment="1">
      <alignment horizontal="center"/>
    </xf>
    <xf numFmtId="0" fontId="22" fillId="8" borderId="6" xfId="0" applyFont="1" applyFill="1" applyBorder="1" applyAlignment="1">
      <alignment horizontal="center"/>
    </xf>
    <xf numFmtId="10" fontId="22" fillId="8" borderId="6" xfId="0" applyNumberFormat="1" applyFont="1" applyFill="1" applyBorder="1" applyAlignment="1">
      <alignment horizontal="center"/>
    </xf>
    <xf numFmtId="43" fontId="22" fillId="9" borderId="7" xfId="15" applyFont="1" applyFill="1" applyBorder="1" applyAlignment="1">
      <alignment horizontal="center"/>
    </xf>
    <xf numFmtId="43" fontId="22" fillId="9" borderId="6" xfId="15" applyFont="1" applyFill="1" applyBorder="1" applyAlignment="1">
      <alignment horizontal="center"/>
    </xf>
    <xf numFmtId="10" fontId="22" fillId="9" borderId="6" xfId="0" applyNumberFormat="1" applyFont="1" applyFill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201" fontId="17" fillId="0" borderId="0" xfId="15" applyNumberFormat="1" applyFont="1" applyBorder="1" applyAlignment="1">
      <alignment horizontal="center"/>
    </xf>
    <xf numFmtId="43" fontId="17" fillId="0" borderId="0" xfId="15" applyNumberFormat="1" applyFont="1" applyAlignment="1">
      <alignment horizontal="center"/>
    </xf>
    <xf numFmtId="10" fontId="17" fillId="0" borderId="0" xfId="15" applyNumberFormat="1" applyFont="1" applyBorder="1" applyAlignment="1">
      <alignment horizontal="center"/>
    </xf>
    <xf numFmtId="10" fontId="17" fillId="0" borderId="8" xfId="15" applyNumberFormat="1" applyFont="1" applyBorder="1" applyAlignment="1">
      <alignment horizontal="center"/>
    </xf>
    <xf numFmtId="10" fontId="17" fillId="0" borderId="0" xfId="0" applyNumberFormat="1" applyFont="1" applyAlignment="1">
      <alignment horizontal="center"/>
    </xf>
    <xf numFmtId="10" fontId="17" fillId="0" borderId="0" xfId="0" applyNumberFormat="1" applyFont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201" fontId="17" fillId="0" borderId="0" xfId="15" applyNumberFormat="1" applyFont="1" applyFill="1" applyBorder="1" applyAlignment="1">
      <alignment horizontal="center"/>
    </xf>
    <xf numFmtId="43" fontId="17" fillId="0" borderId="0" xfId="15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43" fontId="17" fillId="0" borderId="0" xfId="0" applyNumberFormat="1" applyFont="1" applyFill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43" fontId="17" fillId="0" borderId="0" xfId="15" applyFont="1" applyFill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10" borderId="0" xfId="0" applyFont="1" applyFill="1" applyBorder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198" fontId="22" fillId="11" borderId="0" xfId="15" applyNumberFormat="1" applyFont="1" applyFill="1" applyAlignment="1">
      <alignment horizontal="center" vertical="center"/>
    </xf>
    <xf numFmtId="43" fontId="22" fillId="11" borderId="0" xfId="15" applyFont="1" applyFill="1" applyAlignment="1">
      <alignment horizontal="center" vertical="center"/>
    </xf>
    <xf numFmtId="10" fontId="22" fillId="11" borderId="0" xfId="0" applyNumberFormat="1" applyFont="1" applyFill="1" applyAlignment="1">
      <alignment horizontal="center" vertical="center"/>
    </xf>
    <xf numFmtId="43" fontId="22" fillId="10" borderId="0" xfId="15" applyFont="1" applyFill="1" applyAlignment="1">
      <alignment horizontal="center" vertical="center"/>
    </xf>
    <xf numFmtId="10" fontId="22" fillId="10" borderId="0" xfId="0" applyNumberFormat="1" applyFont="1" applyFill="1" applyAlignment="1">
      <alignment horizontal="center" vertical="center"/>
    </xf>
    <xf numFmtId="0" fontId="22" fillId="11" borderId="0" xfId="0" applyFont="1" applyFill="1" applyAlignment="1">
      <alignment vertical="center"/>
    </xf>
    <xf numFmtId="0" fontId="22" fillId="10" borderId="0" xfId="0" applyFont="1" applyFill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0" fontId="22" fillId="10" borderId="0" xfId="0" applyFont="1" applyFill="1" applyBorder="1" applyAlignment="1">
      <alignment horizontal="left" vertical="center"/>
    </xf>
    <xf numFmtId="10" fontId="22" fillId="12" borderId="0" xfId="0" applyNumberFormat="1" applyFont="1" applyFill="1" applyAlignment="1">
      <alignment horizontal="center" vertical="center"/>
    </xf>
    <xf numFmtId="16" fontId="22" fillId="13" borderId="0" xfId="0" applyNumberFormat="1" applyFont="1" applyFill="1" applyAlignment="1">
      <alignment horizontal="center" vertical="center"/>
    </xf>
    <xf numFmtId="213" fontId="22" fillId="13" borderId="0" xfId="0" applyNumberFormat="1" applyFont="1" applyFill="1" applyAlignment="1">
      <alignment horizontal="center"/>
    </xf>
    <xf numFmtId="0" fontId="22" fillId="11" borderId="0" xfId="0" applyFont="1" applyFill="1" applyBorder="1" applyAlignment="1" quotePrefix="1">
      <alignment horizontal="center" vertical="center"/>
    </xf>
    <xf numFmtId="0" fontId="17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43" fontId="17" fillId="7" borderId="0" xfId="15" applyFont="1" applyFill="1" applyAlignment="1">
      <alignment horizontal="center" vertical="center"/>
    </xf>
    <xf numFmtId="43" fontId="17" fillId="7" borderId="0" xfId="15" applyFont="1" applyFill="1" applyBorder="1" applyAlignment="1">
      <alignment horizontal="center"/>
    </xf>
    <xf numFmtId="43" fontId="15" fillId="7" borderId="0" xfId="15" applyFont="1" applyFill="1" applyBorder="1" applyAlignment="1">
      <alignment horizontal="center"/>
    </xf>
    <xf numFmtId="43" fontId="18" fillId="7" borderId="0" xfId="15" applyFont="1" applyFill="1" applyBorder="1" applyAlignment="1">
      <alignment horizontal="center"/>
    </xf>
    <xf numFmtId="0" fontId="17" fillId="7" borderId="0" xfId="0" applyFont="1" applyFill="1" applyAlignment="1">
      <alignment horizontal="center" vertical="center"/>
    </xf>
    <xf numFmtId="43" fontId="17" fillId="7" borderId="0" xfId="0" applyNumberFormat="1" applyFont="1" applyFill="1" applyAlignment="1">
      <alignment horizontal="center" vertical="center"/>
    </xf>
    <xf numFmtId="0" fontId="22" fillId="11" borderId="0" xfId="0" applyFont="1" applyFill="1" applyBorder="1" applyAlignment="1">
      <alignment horizontal="left" vertical="center"/>
    </xf>
    <xf numFmtId="0" fontId="22" fillId="14" borderId="0" xfId="0" applyFont="1" applyFill="1" applyAlignment="1">
      <alignment horizontal="left"/>
    </xf>
    <xf numFmtId="0" fontId="17" fillId="14" borderId="0" xfId="0" applyFont="1" applyFill="1" applyAlignment="1">
      <alignment horizontal="center"/>
    </xf>
    <xf numFmtId="213" fontId="22" fillId="7" borderId="0" xfId="0" applyNumberFormat="1" applyFont="1" applyFill="1" applyAlignment="1">
      <alignment horizontal="center"/>
    </xf>
    <xf numFmtId="0" fontId="22" fillId="7" borderId="0" xfId="0" applyFont="1" applyFill="1" applyAlignment="1">
      <alignment horizontal="center" vertical="center"/>
    </xf>
    <xf numFmtId="201" fontId="22" fillId="7" borderId="0" xfId="0" applyNumberFormat="1" applyFont="1" applyFill="1" applyAlignment="1">
      <alignment horizontal="center" vertical="center"/>
    </xf>
    <xf numFmtId="43" fontId="24" fillId="12" borderId="0" xfId="15" applyFont="1" applyFill="1" applyAlignment="1">
      <alignment horizontal="center" vertical="center"/>
    </xf>
    <xf numFmtId="0" fontId="17" fillId="7" borderId="0" xfId="0" applyFont="1" applyFill="1" applyBorder="1" applyAlignment="1">
      <alignment horizontal="center"/>
    </xf>
    <xf numFmtId="198" fontId="17" fillId="7" borderId="0" xfId="15" applyNumberFormat="1" applyFont="1" applyFill="1" applyBorder="1" applyAlignment="1">
      <alignment horizontal="center"/>
    </xf>
    <xf numFmtId="43" fontId="23" fillId="7" borderId="0" xfId="15" applyFont="1" applyFill="1" applyBorder="1" applyAlignment="1">
      <alignment horizontal="center"/>
    </xf>
    <xf numFmtId="0" fontId="22" fillId="10" borderId="0" xfId="0" applyFont="1" applyFill="1" applyAlignment="1">
      <alignment horizontal="left"/>
    </xf>
    <xf numFmtId="0" fontId="22" fillId="10" borderId="0" xfId="0" applyFont="1" applyFill="1" applyAlignment="1">
      <alignment horizontal="center"/>
    </xf>
    <xf numFmtId="43" fontId="22" fillId="14" borderId="0" xfId="15" applyFont="1" applyFill="1" applyAlignment="1">
      <alignment horizontal="center" vertical="center"/>
    </xf>
    <xf numFmtId="198" fontId="22" fillId="11" borderId="0" xfId="15" applyNumberFormat="1" applyFont="1" applyFill="1" applyAlignment="1">
      <alignment horizontal="center"/>
    </xf>
    <xf numFmtId="198" fontId="22" fillId="10" borderId="0" xfId="15" applyNumberFormat="1" applyFont="1" applyFill="1" applyAlignment="1">
      <alignment horizontal="center"/>
    </xf>
    <xf numFmtId="43" fontId="22" fillId="11" borderId="0" xfId="15" applyFont="1" applyFill="1" applyBorder="1" applyAlignment="1">
      <alignment vertical="center"/>
    </xf>
    <xf numFmtId="201" fontId="25" fillId="12" borderId="0" xfId="15" applyNumberFormat="1" applyFont="1" applyFill="1" applyAlignment="1">
      <alignment horizontal="center"/>
    </xf>
    <xf numFmtId="43" fontId="28" fillId="3" borderId="0" xfId="15" applyFont="1" applyFill="1" applyAlignment="1">
      <alignment horizontal="center" vertical="center"/>
    </xf>
    <xf numFmtId="43" fontId="22" fillId="15" borderId="0" xfId="15" applyFont="1" applyFill="1" applyAlignment="1">
      <alignment horizontal="center"/>
    </xf>
    <xf numFmtId="43" fontId="22" fillId="16" borderId="0" xfId="15" applyFont="1" applyFill="1" applyAlignment="1">
      <alignment horizontal="center" vertical="center"/>
    </xf>
    <xf numFmtId="43" fontId="15" fillId="6" borderId="9" xfId="15" applyFont="1" applyFill="1" applyBorder="1" applyAlignment="1">
      <alignment horizontal="center"/>
    </xf>
    <xf numFmtId="43" fontId="15" fillId="6" borderId="7" xfId="15" applyFont="1" applyFill="1" applyBorder="1" applyAlignment="1">
      <alignment horizontal="center"/>
    </xf>
    <xf numFmtId="43" fontId="17" fillId="2" borderId="1" xfId="15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98" fontId="16" fillId="0" borderId="0" xfId="15" applyNumberFormat="1" applyFont="1" applyBorder="1" applyAlignment="1">
      <alignment horizontal="center"/>
    </xf>
    <xf numFmtId="3" fontId="16" fillId="0" borderId="0" xfId="15" applyNumberFormat="1" applyFont="1" applyBorder="1" applyAlignment="1">
      <alignment horizontal="center"/>
    </xf>
    <xf numFmtId="43" fontId="16" fillId="0" borderId="0" xfId="15" applyFont="1" applyBorder="1" applyAlignment="1">
      <alignment horizontal="center"/>
    </xf>
    <xf numFmtId="16" fontId="17" fillId="17" borderId="0" xfId="0" applyNumberFormat="1" applyFont="1" applyFill="1" applyAlignment="1">
      <alignment horizontal="center"/>
    </xf>
    <xf numFmtId="0" fontId="16" fillId="0" borderId="2" xfId="0" applyFont="1" applyBorder="1" applyAlignment="1">
      <alignment horizontal="center"/>
    </xf>
    <xf numFmtId="198" fontId="16" fillId="0" borderId="2" xfId="15" applyNumberFormat="1" applyFont="1" applyBorder="1" applyAlignment="1">
      <alignment horizontal="center"/>
    </xf>
    <xf numFmtId="3" fontId="16" fillId="0" borderId="2" xfId="15" applyNumberFormat="1" applyFont="1" applyBorder="1" applyAlignment="1">
      <alignment horizontal="center"/>
    </xf>
    <xf numFmtId="43" fontId="16" fillId="0" borderId="2" xfId="15" applyFont="1" applyBorder="1" applyAlignment="1">
      <alignment horizontal="center"/>
    </xf>
    <xf numFmtId="210" fontId="15" fillId="6" borderId="1" xfId="0" applyNumberFormat="1" applyFont="1" applyFill="1" applyBorder="1" applyAlignment="1">
      <alignment horizontal="center"/>
    </xf>
    <xf numFmtId="210" fontId="17" fillId="5" borderId="0" xfId="0" applyNumberFormat="1" applyFont="1" applyFill="1" applyBorder="1" applyAlignment="1">
      <alignment horizontal="center"/>
    </xf>
    <xf numFmtId="210" fontId="18" fillId="5" borderId="0" xfId="0" applyNumberFormat="1" applyFont="1" applyFill="1" applyBorder="1" applyAlignment="1">
      <alignment horizontal="center"/>
    </xf>
    <xf numFmtId="210" fontId="17" fillId="0" borderId="2" xfId="0" applyNumberFormat="1" applyFont="1" applyBorder="1" applyAlignment="1">
      <alignment horizontal="center"/>
    </xf>
    <xf numFmtId="3" fontId="15" fillId="6" borderId="1" xfId="15" applyNumberFormat="1" applyFont="1" applyFill="1" applyBorder="1" applyAlignment="1">
      <alignment horizontal="center"/>
    </xf>
    <xf numFmtId="3" fontId="17" fillId="5" borderId="0" xfId="15" applyNumberFormat="1" applyFont="1" applyFill="1" applyBorder="1" applyAlignment="1">
      <alignment horizontal="center"/>
    </xf>
    <xf numFmtId="3" fontId="18" fillId="5" borderId="0" xfId="15" applyNumberFormat="1" applyFont="1" applyFill="1" applyBorder="1" applyAlignment="1">
      <alignment horizontal="center"/>
    </xf>
    <xf numFmtId="3" fontId="17" fillId="0" borderId="2" xfId="15" applyNumberFormat="1" applyFont="1" applyBorder="1" applyAlignment="1">
      <alignment horizontal="center"/>
    </xf>
    <xf numFmtId="201" fontId="22" fillId="11" borderId="0" xfId="15" applyNumberFormat="1" applyFont="1" applyFill="1" applyBorder="1" applyAlignment="1">
      <alignment vertical="center"/>
    </xf>
    <xf numFmtId="0" fontId="22" fillId="18" borderId="0" xfId="0" applyFont="1" applyFill="1" applyBorder="1" applyAlignment="1">
      <alignment vertical="center"/>
    </xf>
    <xf numFmtId="43" fontId="22" fillId="18" borderId="0" xfId="15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43" fontId="19" fillId="0" borderId="0" xfId="15" applyFont="1" applyAlignment="1">
      <alignment horizontal="center"/>
    </xf>
    <xf numFmtId="43" fontId="22" fillId="14" borderId="0" xfId="15" applyFont="1" applyFill="1" applyAlignment="1">
      <alignment horizontal="center"/>
    </xf>
    <xf numFmtId="0" fontId="17" fillId="0" borderId="0" xfId="0" applyFont="1" applyAlignment="1" quotePrefix="1">
      <alignment horizontal="center"/>
    </xf>
    <xf numFmtId="0" fontId="15" fillId="6" borderId="10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22" fillId="11" borderId="0" xfId="0" applyFont="1" applyFill="1" applyAlignment="1">
      <alignment vertical="center"/>
    </xf>
    <xf numFmtId="0" fontId="22" fillId="10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vertical="center"/>
    </xf>
    <xf numFmtId="0" fontId="22" fillId="12" borderId="0" xfId="0" applyFont="1" applyFill="1" applyBorder="1" applyAlignment="1">
      <alignment horizontal="left" vertical="center"/>
    </xf>
    <xf numFmtId="0" fontId="22" fillId="16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vertical="center"/>
    </xf>
    <xf numFmtId="0" fontId="22" fillId="15" borderId="0" xfId="0" applyFont="1" applyFill="1" applyBorder="1" applyAlignment="1">
      <alignment vertical="center"/>
    </xf>
    <xf numFmtId="0" fontId="22" fillId="10" borderId="0" xfId="0" applyFont="1" applyFill="1" applyAlignment="1">
      <alignment horizontal="left" vertical="center"/>
    </xf>
    <xf numFmtId="15" fontId="23" fillId="7" borderId="0" xfId="15" applyNumberFormat="1" applyFont="1" applyFill="1" applyBorder="1" applyAlignment="1">
      <alignment horizontal="left"/>
    </xf>
    <xf numFmtId="0" fontId="26" fillId="10" borderId="11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vertical="center"/>
    </xf>
    <xf numFmtId="43" fontId="26" fillId="14" borderId="0" xfId="15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Cordia New"/>
                <a:ea typeface="Cordia New"/>
                <a:cs typeface="Cordia New"/>
              </a:rPr>
              <a:t>PERCENTAGE CHANGE : NAV vs 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87"/>
          <c:w val="0.854"/>
          <c:h val="0.731"/>
        </c:manualLayout>
      </c:layout>
      <c:lineChart>
        <c:grouping val="standard"/>
        <c:varyColors val="0"/>
        <c:ser>
          <c:idx val="0"/>
          <c:order val="0"/>
          <c:tx>
            <c:v>% CHANGE OF NAV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'Perf.'!$A$4:$A$500</c:f>
              <c:strCache>
                <c:ptCount val="4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  <c:pt idx="110">
                  <c:v>3/4</c:v>
                </c:pt>
                <c:pt idx="111">
                  <c:v>4/4</c:v>
                </c:pt>
                <c:pt idx="112">
                  <c:v>8/4</c:v>
                </c:pt>
                <c:pt idx="113">
                  <c:v>9/4</c:v>
                </c:pt>
                <c:pt idx="114">
                  <c:v>10/4</c:v>
                </c:pt>
                <c:pt idx="115">
                  <c:v>11/4</c:v>
                </c:pt>
                <c:pt idx="116">
                  <c:v>16/4</c:v>
                </c:pt>
                <c:pt idx="117">
                  <c:v>17/4</c:v>
                </c:pt>
                <c:pt idx="118">
                  <c:v>18/4</c:v>
                </c:pt>
                <c:pt idx="119">
                  <c:v>21/4</c:v>
                </c:pt>
                <c:pt idx="120">
                  <c:v>22/4</c:v>
                </c:pt>
                <c:pt idx="121">
                  <c:v>23/4</c:v>
                </c:pt>
                <c:pt idx="122">
                  <c:v>24/4</c:v>
                </c:pt>
                <c:pt idx="123">
                  <c:v>25/4</c:v>
                </c:pt>
                <c:pt idx="124">
                  <c:v>28/4</c:v>
                </c:pt>
                <c:pt idx="125">
                  <c:v>29/4</c:v>
                </c:pt>
                <c:pt idx="126">
                  <c:v>30/4</c:v>
                </c:pt>
                <c:pt idx="127">
                  <c:v>2/5</c:v>
                </c:pt>
                <c:pt idx="128">
                  <c:v>6/5</c:v>
                </c:pt>
                <c:pt idx="129">
                  <c:v>7/5</c:v>
                </c:pt>
                <c:pt idx="130">
                  <c:v>8/5</c:v>
                </c:pt>
                <c:pt idx="131">
                  <c:v>9/5</c:v>
                </c:pt>
                <c:pt idx="132">
                  <c:v>12/5</c:v>
                </c:pt>
                <c:pt idx="133">
                  <c:v>13/5</c:v>
                </c:pt>
                <c:pt idx="134">
                  <c:v>14/5</c:v>
                </c:pt>
                <c:pt idx="135">
                  <c:v>16/5</c:v>
                </c:pt>
                <c:pt idx="136">
                  <c:v>19/5</c:v>
                </c:pt>
                <c:pt idx="137">
                  <c:v>20/5</c:v>
                </c:pt>
                <c:pt idx="138">
                  <c:v>21/5</c:v>
                </c:pt>
                <c:pt idx="139">
                  <c:v>22/5</c:v>
                </c:pt>
                <c:pt idx="140">
                  <c:v>23/5</c:v>
                </c:pt>
                <c:pt idx="141">
                  <c:v>26/5</c:v>
                </c:pt>
                <c:pt idx="142">
                  <c:v>27/5</c:v>
                </c:pt>
                <c:pt idx="143">
                  <c:v>28/5</c:v>
                </c:pt>
                <c:pt idx="144">
                  <c:v>29/5</c:v>
                </c:pt>
                <c:pt idx="145">
                  <c:v>30/5</c:v>
                </c:pt>
                <c:pt idx="146">
                  <c:v>2/6</c:v>
                </c:pt>
                <c:pt idx="147">
                  <c:v>3/6</c:v>
                </c:pt>
                <c:pt idx="148">
                  <c:v>4/6</c:v>
                </c:pt>
                <c:pt idx="149">
                  <c:v>5/6</c:v>
                </c:pt>
                <c:pt idx="150">
                  <c:v>6/6</c:v>
                </c:pt>
                <c:pt idx="151">
                  <c:v>9/6</c:v>
                </c:pt>
                <c:pt idx="152">
                  <c:v>10/6</c:v>
                </c:pt>
                <c:pt idx="153">
                  <c:v>11/6</c:v>
                </c:pt>
                <c:pt idx="154">
                  <c:v>12/6</c:v>
                </c:pt>
                <c:pt idx="155">
                  <c:v>13/6</c:v>
                </c:pt>
                <c:pt idx="156">
                  <c:v>16/6</c:v>
                </c:pt>
                <c:pt idx="157">
                  <c:v>17/6</c:v>
                </c:pt>
                <c:pt idx="158">
                  <c:v>18/6</c:v>
                </c:pt>
                <c:pt idx="159">
                  <c:v>19/6</c:v>
                </c:pt>
                <c:pt idx="160">
                  <c:v>20/6</c:v>
                </c:pt>
                <c:pt idx="161">
                  <c:v>23/6</c:v>
                </c:pt>
                <c:pt idx="162">
                  <c:v>24/6</c:v>
                </c:pt>
                <c:pt idx="163">
                  <c:v>25/6</c:v>
                </c:pt>
                <c:pt idx="164">
                  <c:v>26/6</c:v>
                </c:pt>
                <c:pt idx="165">
                  <c:v>27/6</c:v>
                </c:pt>
                <c:pt idx="166">
                  <c:v>30/6</c:v>
                </c:pt>
                <c:pt idx="167">
                  <c:v>2/7</c:v>
                </c:pt>
                <c:pt idx="168">
                  <c:v>3/7</c:v>
                </c:pt>
                <c:pt idx="169">
                  <c:v>4/7</c:v>
                </c:pt>
                <c:pt idx="170">
                  <c:v>7/7</c:v>
                </c:pt>
                <c:pt idx="171">
                  <c:v>8/7</c:v>
                </c:pt>
                <c:pt idx="172">
                  <c:v>9/7</c:v>
                </c:pt>
                <c:pt idx="173">
                  <c:v>10/7</c:v>
                </c:pt>
                <c:pt idx="174">
                  <c:v>11/7</c:v>
                </c:pt>
                <c:pt idx="175">
                  <c:v>15/7</c:v>
                </c:pt>
                <c:pt idx="176">
                  <c:v>16/7</c:v>
                </c:pt>
                <c:pt idx="177">
                  <c:v>17/7</c:v>
                </c:pt>
                <c:pt idx="178">
                  <c:v>18/7</c:v>
                </c:pt>
                <c:pt idx="179">
                  <c:v>21/7</c:v>
                </c:pt>
                <c:pt idx="180">
                  <c:v>22/7</c:v>
                </c:pt>
                <c:pt idx="181">
                  <c:v>23/7</c:v>
                </c:pt>
                <c:pt idx="182">
                  <c:v>24/7</c:v>
                </c:pt>
                <c:pt idx="183">
                  <c:v>25/7</c:v>
                </c:pt>
                <c:pt idx="184">
                  <c:v>28/7</c:v>
                </c:pt>
                <c:pt idx="185">
                  <c:v>29/7</c:v>
                </c:pt>
                <c:pt idx="186">
                  <c:v>30/7</c:v>
                </c:pt>
                <c:pt idx="187">
                  <c:v>31/7</c:v>
                </c:pt>
                <c:pt idx="188">
                  <c:v>1/8</c:v>
                </c:pt>
                <c:pt idx="189">
                  <c:v>4/8</c:v>
                </c:pt>
                <c:pt idx="190">
                  <c:v>5/8</c:v>
                </c:pt>
                <c:pt idx="191">
                  <c:v>6/8</c:v>
                </c:pt>
                <c:pt idx="192">
                  <c:v>7/8</c:v>
                </c:pt>
                <c:pt idx="193">
                  <c:v>8/8</c:v>
                </c:pt>
                <c:pt idx="194">
                  <c:v>11/8</c:v>
                </c:pt>
                <c:pt idx="195">
                  <c:v>13/8</c:v>
                </c:pt>
                <c:pt idx="196">
                  <c:v>14/8</c:v>
                </c:pt>
                <c:pt idx="197">
                  <c:v>15/8</c:v>
                </c:pt>
                <c:pt idx="198">
                  <c:v>18/8</c:v>
                </c:pt>
                <c:pt idx="199">
                  <c:v>19/8</c:v>
                </c:pt>
                <c:pt idx="200">
                  <c:v>20/8</c:v>
                </c:pt>
                <c:pt idx="201">
                  <c:v>21/8</c:v>
                </c:pt>
                <c:pt idx="202">
                  <c:v>22/8</c:v>
                </c:pt>
                <c:pt idx="203">
                  <c:v>25/8</c:v>
                </c:pt>
                <c:pt idx="204">
                  <c:v>26/8</c:v>
                </c:pt>
                <c:pt idx="205">
                  <c:v>27/8</c:v>
                </c:pt>
                <c:pt idx="206">
                  <c:v>28/8</c:v>
                </c:pt>
                <c:pt idx="207">
                  <c:v>29/8</c:v>
                </c:pt>
                <c:pt idx="208">
                  <c:v>1/9</c:v>
                </c:pt>
                <c:pt idx="209">
                  <c:v>2/9</c:v>
                </c:pt>
                <c:pt idx="210">
                  <c:v>3/9</c:v>
                </c:pt>
                <c:pt idx="211">
                  <c:v>4/9</c:v>
                </c:pt>
                <c:pt idx="212">
                  <c:v>5/9</c:v>
                </c:pt>
                <c:pt idx="213">
                  <c:v>8/9</c:v>
                </c:pt>
                <c:pt idx="214">
                  <c:v>9/9</c:v>
                </c:pt>
                <c:pt idx="215">
                  <c:v>10/9</c:v>
                </c:pt>
                <c:pt idx="216">
                  <c:v>11/9</c:v>
                </c:pt>
                <c:pt idx="217">
                  <c:v>12/9</c:v>
                </c:pt>
                <c:pt idx="218">
                  <c:v>15/9</c:v>
                </c:pt>
                <c:pt idx="219">
                  <c:v>16/9</c:v>
                </c:pt>
                <c:pt idx="220">
                  <c:v>17/9</c:v>
                </c:pt>
                <c:pt idx="221">
                  <c:v>18/9</c:v>
                </c:pt>
                <c:pt idx="222">
                  <c:v>19/9</c:v>
                </c:pt>
                <c:pt idx="223">
                  <c:v>22/9</c:v>
                </c:pt>
                <c:pt idx="224">
                  <c:v>23/9</c:v>
                </c:pt>
                <c:pt idx="225">
                  <c:v>24/9</c:v>
                </c:pt>
                <c:pt idx="226">
                  <c:v>25/9</c:v>
                </c:pt>
                <c:pt idx="227">
                  <c:v>26/9</c:v>
                </c:pt>
                <c:pt idx="228">
                  <c:v>29/9</c:v>
                </c:pt>
                <c:pt idx="229">
                  <c:v>30/9</c:v>
                </c:pt>
                <c:pt idx="230">
                  <c:v>1/10</c:v>
                </c:pt>
                <c:pt idx="231">
                  <c:v>2/10</c:v>
                </c:pt>
                <c:pt idx="232">
                  <c:v>3/10</c:v>
                </c:pt>
                <c:pt idx="233">
                  <c:v>6/10</c:v>
                </c:pt>
                <c:pt idx="234">
                  <c:v>7/10</c:v>
                </c:pt>
                <c:pt idx="235">
                  <c:v>8/10</c:v>
                </c:pt>
                <c:pt idx="236">
                  <c:v>9/10</c:v>
                </c:pt>
                <c:pt idx="237">
                  <c:v>10/10</c:v>
                </c:pt>
                <c:pt idx="238">
                  <c:v>13/10</c:v>
                </c:pt>
                <c:pt idx="239">
                  <c:v>14/10</c:v>
                </c:pt>
                <c:pt idx="240">
                  <c:v>15/10</c:v>
                </c:pt>
                <c:pt idx="241">
                  <c:v>16/10</c:v>
                </c:pt>
                <c:pt idx="242">
                  <c:v>17/10</c:v>
                </c:pt>
                <c:pt idx="243">
                  <c:v>20/10</c:v>
                </c:pt>
                <c:pt idx="244">
                  <c:v>21/10</c:v>
                </c:pt>
                <c:pt idx="245">
                  <c:v>22/10</c:v>
                </c:pt>
                <c:pt idx="246">
                  <c:v>24/10</c:v>
                </c:pt>
                <c:pt idx="247">
                  <c:v>27/10</c:v>
                </c:pt>
                <c:pt idx="248">
                  <c:v>28/10</c:v>
                </c:pt>
                <c:pt idx="249">
                  <c:v>29/10</c:v>
                </c:pt>
                <c:pt idx="250">
                  <c:v>30/10</c:v>
                </c:pt>
                <c:pt idx="251">
                  <c:v>31/10</c:v>
                </c:pt>
                <c:pt idx="252">
                  <c:v>3/11</c:v>
                </c:pt>
                <c:pt idx="253">
                  <c:v>4/11</c:v>
                </c:pt>
                <c:pt idx="254">
                  <c:v>5/11</c:v>
                </c:pt>
                <c:pt idx="255">
                  <c:v>6/11</c:v>
                </c:pt>
                <c:pt idx="256">
                  <c:v>7/11</c:v>
                </c:pt>
                <c:pt idx="257">
                  <c:v>10/11</c:v>
                </c:pt>
                <c:pt idx="258">
                  <c:v>11/11</c:v>
                </c:pt>
                <c:pt idx="259">
                  <c:v>12/11</c:v>
                </c:pt>
                <c:pt idx="260">
                  <c:v>13/11</c:v>
                </c:pt>
                <c:pt idx="261">
                  <c:v>14/11</c:v>
                </c:pt>
                <c:pt idx="262">
                  <c:v>17/11</c:v>
                </c:pt>
                <c:pt idx="263">
                  <c:v>18/11</c:v>
                </c:pt>
                <c:pt idx="264">
                  <c:v>19/11</c:v>
                </c:pt>
                <c:pt idx="265">
                  <c:v>20/11</c:v>
                </c:pt>
                <c:pt idx="266">
                  <c:v>21/11</c:v>
                </c:pt>
                <c:pt idx="267">
                  <c:v>24/11</c:v>
                </c:pt>
                <c:pt idx="268">
                  <c:v>25/11</c:v>
                </c:pt>
                <c:pt idx="269">
                  <c:v>26/11</c:v>
                </c:pt>
                <c:pt idx="270">
                  <c:v>27/11</c:v>
                </c:pt>
                <c:pt idx="271">
                  <c:v>28/11</c:v>
                </c:pt>
                <c:pt idx="272">
                  <c:v>1/12</c:v>
                </c:pt>
                <c:pt idx="273">
                  <c:v>2/12</c:v>
                </c:pt>
                <c:pt idx="274">
                  <c:v>3/12</c:v>
                </c:pt>
                <c:pt idx="275">
                  <c:v>4/12</c:v>
                </c:pt>
                <c:pt idx="276">
                  <c:v>8/12</c:v>
                </c:pt>
                <c:pt idx="277">
                  <c:v>9/12</c:v>
                </c:pt>
                <c:pt idx="278">
                  <c:v>11/12</c:v>
                </c:pt>
                <c:pt idx="279">
                  <c:v>12/12</c:v>
                </c:pt>
                <c:pt idx="280">
                  <c:v>15/12</c:v>
                </c:pt>
                <c:pt idx="281">
                  <c:v>16/12</c:v>
                </c:pt>
                <c:pt idx="282">
                  <c:v>17/12</c:v>
                </c:pt>
                <c:pt idx="283">
                  <c:v>18/12</c:v>
                </c:pt>
                <c:pt idx="284">
                  <c:v>19/12</c:v>
                </c:pt>
                <c:pt idx="285">
                  <c:v>22/12</c:v>
                </c:pt>
                <c:pt idx="286">
                  <c:v>23/12</c:v>
                </c:pt>
                <c:pt idx="287">
                  <c:v>24/12</c:v>
                </c:pt>
                <c:pt idx="288">
                  <c:v>25/12</c:v>
                </c:pt>
                <c:pt idx="289">
                  <c:v>26/12</c:v>
                </c:pt>
                <c:pt idx="290">
                  <c:v>29/12</c:v>
                </c:pt>
                <c:pt idx="291">
                  <c:v>30/12</c:v>
                </c:pt>
                <c:pt idx="292">
                  <c:v>31/12</c:v>
                </c:pt>
                <c:pt idx="293">
                  <c:v>5/1</c:v>
                </c:pt>
                <c:pt idx="294">
                  <c:v>6/1</c:v>
                </c:pt>
                <c:pt idx="295">
                  <c:v>7/1</c:v>
                </c:pt>
                <c:pt idx="296">
                  <c:v>8/1</c:v>
                </c:pt>
                <c:pt idx="297">
                  <c:v>9/1</c:v>
                </c:pt>
                <c:pt idx="298">
                  <c:v>12/1</c:v>
                </c:pt>
                <c:pt idx="299">
                  <c:v>13/1</c:v>
                </c:pt>
                <c:pt idx="300">
                  <c:v>14/1</c:v>
                </c:pt>
                <c:pt idx="301">
                  <c:v>15/1</c:v>
                </c:pt>
              </c:strCache>
            </c:strRef>
          </c:cat>
          <c:val>
            <c:numRef>
              <c:f>'Perf.'!$D$3:$D$500</c:f>
              <c:numCache>
                <c:ptCount val="498"/>
                <c:pt idx="0">
                  <c:v>0</c:v>
                </c:pt>
                <c:pt idx="1">
                  <c:v>0.0165297424820363</c:v>
                </c:pt>
                <c:pt idx="2">
                  <c:v>0.022780721533901635</c:v>
                </c:pt>
                <c:pt idx="3">
                  <c:v>0.010470877585958983</c:v>
                </c:pt>
                <c:pt idx="4">
                  <c:v>0.011242932569015656</c:v>
                </c:pt>
                <c:pt idx="5">
                  <c:v>-0.0036930207422962206</c:v>
                </c:pt>
                <c:pt idx="6">
                  <c:v>0.002665271512524949</c:v>
                </c:pt>
                <c:pt idx="7">
                  <c:v>0.0029904600635737395</c:v>
                </c:pt>
                <c:pt idx="8">
                  <c:v>0.01921439386553047</c:v>
                </c:pt>
                <c:pt idx="9">
                  <c:v>-0.008735360082142393</c:v>
                </c:pt>
                <c:pt idx="10">
                  <c:v>-0.030822750161719398</c:v>
                </c:pt>
                <c:pt idx="11">
                  <c:v>-0.003017759688705034</c:v>
                </c:pt>
                <c:pt idx="12">
                  <c:v>0.011653286333418337</c:v>
                </c:pt>
                <c:pt idx="13">
                  <c:v>-0.0028462837924150487</c:v>
                </c:pt>
                <c:pt idx="14">
                  <c:v>0.004054393282969924</c:v>
                </c:pt>
                <c:pt idx="15">
                  <c:v>-0.017984529958852576</c:v>
                </c:pt>
                <c:pt idx="16">
                  <c:v>-0.0012016401282240914</c:v>
                </c:pt>
                <c:pt idx="17">
                  <c:v>-0.0036092574132132516</c:v>
                </c:pt>
                <c:pt idx="18">
                  <c:v>-0.02906114931188196</c:v>
                </c:pt>
                <c:pt idx="19">
                  <c:v>0.004074633256114305</c:v>
                </c:pt>
                <c:pt idx="20">
                  <c:v>-0.01605497462726543</c:v>
                </c:pt>
                <c:pt idx="21">
                  <c:v>0.00896856744628476</c:v>
                </c:pt>
                <c:pt idx="22">
                  <c:v>0.004710498109871698</c:v>
                </c:pt>
                <c:pt idx="23">
                  <c:v>0.008820425466115226</c:v>
                </c:pt>
                <c:pt idx="24">
                  <c:v>0</c:v>
                </c:pt>
                <c:pt idx="25">
                  <c:v>-0.002622597910381108</c:v>
                </c:pt>
                <c:pt idx="26">
                  <c:v>-0.0029614642914121496</c:v>
                </c:pt>
                <c:pt idx="27">
                  <c:v>-0.0029702606121512235</c:v>
                </c:pt>
                <c:pt idx="28">
                  <c:v>0.013661058053092945</c:v>
                </c:pt>
                <c:pt idx="29">
                  <c:v>0</c:v>
                </c:pt>
                <c:pt idx="30">
                  <c:v>-0.012551462084081354</c:v>
                </c:pt>
                <c:pt idx="31">
                  <c:v>-0.003177750941474915</c:v>
                </c:pt>
                <c:pt idx="32">
                  <c:v>-0.0021252541560451894</c:v>
                </c:pt>
                <c:pt idx="33">
                  <c:v>-0.003194670721295413</c:v>
                </c:pt>
                <c:pt idx="34">
                  <c:v>0.008965235368987818</c:v>
                </c:pt>
                <c:pt idx="35">
                  <c:v>0.007411674414248743</c:v>
                </c:pt>
                <c:pt idx="36">
                  <c:v>-0.00560544430179166</c:v>
                </c:pt>
                <c:pt idx="37">
                  <c:v>-0.00581320000506637</c:v>
                </c:pt>
                <c:pt idx="38">
                  <c:v>0.0032575161164972266</c:v>
                </c:pt>
                <c:pt idx="39">
                  <c:v>0.00160600757003349</c:v>
                </c:pt>
                <c:pt idx="40">
                  <c:v>0.0004957316307553574</c:v>
                </c:pt>
                <c:pt idx="41">
                  <c:v>-0.0023562814474334163</c:v>
                </c:pt>
                <c:pt idx="42">
                  <c:v>-5.171506333303722E-06</c:v>
                </c:pt>
                <c:pt idx="43">
                  <c:v>0.001397190396525351</c:v>
                </c:pt>
                <c:pt idx="44">
                  <c:v>0.02708696849920195</c:v>
                </c:pt>
                <c:pt idx="45">
                  <c:v>0.026754228239548625</c:v>
                </c:pt>
                <c:pt idx="46">
                  <c:v>0.00035292109580283644</c:v>
                </c:pt>
                <c:pt idx="47">
                  <c:v>-0.0015336966727098422</c:v>
                </c:pt>
                <c:pt idx="48">
                  <c:v>0.0015303452228933602</c:v>
                </c:pt>
                <c:pt idx="49">
                  <c:v>0.0034082342501866743</c:v>
                </c:pt>
                <c:pt idx="50">
                  <c:v>-0.008078848309530798</c:v>
                </c:pt>
                <c:pt idx="51">
                  <c:v>-0.03883792302329507</c:v>
                </c:pt>
                <c:pt idx="52">
                  <c:v>-0.009619262171482058</c:v>
                </c:pt>
                <c:pt idx="53">
                  <c:v>0.019214333807906013</c:v>
                </c:pt>
                <c:pt idx="54">
                  <c:v>0.038867763438918984</c:v>
                </c:pt>
                <c:pt idx="55">
                  <c:v>0.023485603168873895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0.0016147645594413972</c:v>
                </c:pt>
                <c:pt idx="64">
                  <c:v>0.020778899759908643</c:v>
                </c:pt>
                <c:pt idx="65">
                  <c:v>-0.00912601533465642</c:v>
                </c:pt>
                <c:pt idx="66">
                  <c:v>0.001203138666906898</c:v>
                </c:pt>
                <c:pt idx="67">
                  <c:v>0</c:v>
                </c:pt>
                <c:pt idx="68">
                  <c:v>0.0017315958150911875</c:v>
                </c:pt>
                <c:pt idx="69">
                  <c:v>2.2264660928334562E-15</c:v>
                </c:pt>
                <c:pt idx="70">
                  <c:v>0</c:v>
                </c:pt>
                <c:pt idx="71">
                  <c:v>-0.001728602574110129</c:v>
                </c:pt>
                <c:pt idx="72">
                  <c:v>0.0069263832603645905</c:v>
                </c:pt>
                <c:pt idx="73">
                  <c:v>-0.0034393692406475816</c:v>
                </c:pt>
                <c:pt idx="74">
                  <c:v>-0.001977190161532875</c:v>
                </c:pt>
                <c:pt idx="75">
                  <c:v>0.01059912172714806</c:v>
                </c:pt>
                <c:pt idx="76">
                  <c:v>0.0022838488847602796</c:v>
                </c:pt>
                <c:pt idx="77">
                  <c:v>-0.033385223169574534</c:v>
                </c:pt>
                <c:pt idx="78">
                  <c:v>0.0007305095652438775</c:v>
                </c:pt>
                <c:pt idx="79">
                  <c:v>0.012119218230384414</c:v>
                </c:pt>
                <c:pt idx="80">
                  <c:v>-0.01062463520766391</c:v>
                </c:pt>
                <c:pt idx="81">
                  <c:v>-0.017261425222125204</c:v>
                </c:pt>
                <c:pt idx="82">
                  <c:v>-0.009218308854189955</c:v>
                </c:pt>
                <c:pt idx="83">
                  <c:v>-0.0033890514316329565</c:v>
                </c:pt>
                <c:pt idx="84">
                  <c:v>-0.04064509315139837</c:v>
                </c:pt>
                <c:pt idx="85">
                  <c:v>-0.00986751349610809</c:v>
                </c:pt>
                <c:pt idx="86">
                  <c:v>0.004775374345156938</c:v>
                </c:pt>
                <c:pt idx="87">
                  <c:v>0.010069947476305224</c:v>
                </c:pt>
                <c:pt idx="88">
                  <c:v>0.027727359981855937</c:v>
                </c:pt>
                <c:pt idx="89">
                  <c:v>0.004572170325626351</c:v>
                </c:pt>
                <c:pt idx="90">
                  <c:v>-0.0033449084459687742</c:v>
                </c:pt>
                <c:pt idx="91">
                  <c:v>-0.00444991937070694</c:v>
                </c:pt>
                <c:pt idx="92">
                  <c:v>-0.006550372732230861</c:v>
                </c:pt>
                <c:pt idx="93">
                  <c:v>-0.008749799733069361</c:v>
                </c:pt>
                <c:pt idx="94">
                  <c:v>-0.005175650208919592</c:v>
                </c:pt>
                <c:pt idx="95">
                  <c:v>0</c:v>
                </c:pt>
                <c:pt idx="96">
                  <c:v>-7.38354246706918E-06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-0.015297437914604204</c:v>
                </c:pt>
                <c:pt idx="102">
                  <c:v>-0.01945340996653143</c:v>
                </c:pt>
                <c:pt idx="103">
                  <c:v>-0.05966755007320447</c:v>
                </c:pt>
                <c:pt idx="104">
                  <c:v>0.007663075399842655</c:v>
                </c:pt>
                <c:pt idx="105">
                  <c:v>0.011085214331648236</c:v>
                </c:pt>
                <c:pt idx="106">
                  <c:v>0</c:v>
                </c:pt>
                <c:pt idx="107">
                  <c:v>0</c:v>
                </c:pt>
                <c:pt idx="108">
                  <c:v>-0.07694252443540091</c:v>
                </c:pt>
                <c:pt idx="109">
                  <c:v>0.016791066352928784</c:v>
                </c:pt>
                <c:pt idx="110">
                  <c:v>0.032697479572792176</c:v>
                </c:pt>
                <c:pt idx="111">
                  <c:v>0.00697040083903419</c:v>
                </c:pt>
                <c:pt idx="112">
                  <c:v>0.015360521088297066</c:v>
                </c:pt>
                <c:pt idx="113">
                  <c:v>-0.0074470412145712225</c:v>
                </c:pt>
                <c:pt idx="114">
                  <c:v>-0.0034367000481092687</c:v>
                </c:pt>
                <c:pt idx="115">
                  <c:v>0</c:v>
                </c:pt>
                <c:pt idx="116">
                  <c:v>0</c:v>
                </c:pt>
                <c:pt idx="117">
                  <c:v>0.008169836229976163</c:v>
                </c:pt>
                <c:pt idx="118">
                  <c:v>-0.010418954004918709</c:v>
                </c:pt>
                <c:pt idx="119">
                  <c:v>-0.005849250856143702</c:v>
                </c:pt>
                <c:pt idx="120">
                  <c:v>-0.004579453287427254</c:v>
                </c:pt>
                <c:pt idx="121">
                  <c:v>-0.003940489215566439</c:v>
                </c:pt>
                <c:pt idx="122">
                  <c:v>0.0032110694711122998</c:v>
                </c:pt>
                <c:pt idx="123">
                  <c:v>-0.0050147936477783666</c:v>
                </c:pt>
                <c:pt idx="124">
                  <c:v>-0.012279280033492606</c:v>
                </c:pt>
                <c:pt idx="125">
                  <c:v>-0.005416179789606482</c:v>
                </c:pt>
                <c:pt idx="126">
                  <c:v>0.017062844128350938</c:v>
                </c:pt>
                <c:pt idx="127">
                  <c:v>0.012064004329281775</c:v>
                </c:pt>
                <c:pt idx="128">
                  <c:v>0.0032136307612549123</c:v>
                </c:pt>
                <c:pt idx="129">
                  <c:v>0.00784285186632828</c:v>
                </c:pt>
                <c:pt idx="130">
                  <c:v>0.0032028937145490424</c:v>
                </c:pt>
                <c:pt idx="131">
                  <c:v>-0.003487522236296443</c:v>
                </c:pt>
                <c:pt idx="132">
                  <c:v>0.00287712002218259</c:v>
                </c:pt>
                <c:pt idx="133">
                  <c:v>-0.0063108410131297536</c:v>
                </c:pt>
                <c:pt idx="134">
                  <c:v>-0.00223230954788226</c:v>
                </c:pt>
                <c:pt idx="135">
                  <c:v>0.0030306145782613134</c:v>
                </c:pt>
                <c:pt idx="136">
                  <c:v>-0.02669217633745993</c:v>
                </c:pt>
                <c:pt idx="137">
                  <c:v>-0.020396262078342615</c:v>
                </c:pt>
                <c:pt idx="138">
                  <c:v>0.007018291432182685</c:v>
                </c:pt>
                <c:pt idx="139">
                  <c:v>0.0023231261013808937</c:v>
                </c:pt>
                <c:pt idx="140">
                  <c:v>0.005639838124871766</c:v>
                </c:pt>
                <c:pt idx="141">
                  <c:v>0.0007180919479358783</c:v>
                </c:pt>
                <c:pt idx="142">
                  <c:v>-0.01159221707911209</c:v>
                </c:pt>
                <c:pt idx="143">
                  <c:v>-0.0027961206203093855</c:v>
                </c:pt>
                <c:pt idx="144">
                  <c:v>0.0024145218284280525</c:v>
                </c:pt>
                <c:pt idx="145">
                  <c:v>-0.0004662011526426583</c:v>
                </c:pt>
                <c:pt idx="146">
                  <c:v>0.00885837281297903</c:v>
                </c:pt>
                <c:pt idx="147">
                  <c:v>0.006626632054041446</c:v>
                </c:pt>
                <c:pt idx="148">
                  <c:v>-0.003848151421335226</c:v>
                </c:pt>
                <c:pt idx="149">
                  <c:v>0.0006646860308775419</c:v>
                </c:pt>
                <c:pt idx="150">
                  <c:v>0.0018929048947701342</c:v>
                </c:pt>
                <c:pt idx="151">
                  <c:v>0.005211940897825557</c:v>
                </c:pt>
                <c:pt idx="152">
                  <c:v>-0.0010674829971439525</c:v>
                </c:pt>
                <c:pt idx="153">
                  <c:v>0.007774451395500023</c:v>
                </c:pt>
                <c:pt idx="154">
                  <c:v>-0.0055556330684820715</c:v>
                </c:pt>
                <c:pt idx="155">
                  <c:v>-0.006093164891821415</c:v>
                </c:pt>
                <c:pt idx="156">
                  <c:v>0.0027587336201599514</c:v>
                </c:pt>
                <c:pt idx="157">
                  <c:v>0.017271070333064565</c:v>
                </c:pt>
                <c:pt idx="158">
                  <c:v>0.008864538425861806</c:v>
                </c:pt>
                <c:pt idx="159">
                  <c:v>-0.01191108883267055</c:v>
                </c:pt>
                <c:pt idx="160">
                  <c:v>0.02574700174054619</c:v>
                </c:pt>
                <c:pt idx="161">
                  <c:v>0.0011755063074462412</c:v>
                </c:pt>
                <c:pt idx="162">
                  <c:v>-0.0019813378187124066</c:v>
                </c:pt>
                <c:pt idx="163">
                  <c:v>0.00012499337315754902</c:v>
                </c:pt>
                <c:pt idx="164">
                  <c:v>0.022480626880099237</c:v>
                </c:pt>
                <c:pt idx="165">
                  <c:v>0.005556135406193372</c:v>
                </c:pt>
                <c:pt idx="166">
                  <c:v>-0.001143485159838092</c:v>
                </c:pt>
                <c:pt idx="167">
                  <c:v>0.000737568110090906</c:v>
                </c:pt>
                <c:pt idx="168">
                  <c:v>0.02049259783037184</c:v>
                </c:pt>
                <c:pt idx="169">
                  <c:v>-0.004602670165186532</c:v>
                </c:pt>
                <c:pt idx="170">
                  <c:v>0.0016687967030580364</c:v>
                </c:pt>
                <c:pt idx="171">
                  <c:v>-0.005832903267482223</c:v>
                </c:pt>
                <c:pt idx="172">
                  <c:v>0.015712363901338323</c:v>
                </c:pt>
                <c:pt idx="173">
                  <c:v>0.0006076879396420613</c:v>
                </c:pt>
                <c:pt idx="174">
                  <c:v>-0.00458922956431118</c:v>
                </c:pt>
                <c:pt idx="175">
                  <c:v>0.006397873173359203</c:v>
                </c:pt>
                <c:pt idx="176">
                  <c:v>0.020516202002668606</c:v>
                </c:pt>
                <c:pt idx="177">
                  <c:v>0.02104355487642921</c:v>
                </c:pt>
                <c:pt idx="178">
                  <c:v>0.008814232223238358</c:v>
                </c:pt>
                <c:pt idx="179">
                  <c:v>-0.003590493405490807</c:v>
                </c:pt>
                <c:pt idx="180">
                  <c:v>-0.003079270757927297</c:v>
                </c:pt>
                <c:pt idx="181">
                  <c:v>0.004097924935491966</c:v>
                </c:pt>
                <c:pt idx="182">
                  <c:v>-0.013993263418279448</c:v>
                </c:pt>
                <c:pt idx="183">
                  <c:v>-0.019626588341099337</c:v>
                </c:pt>
                <c:pt idx="184">
                  <c:v>0.009934294015474184</c:v>
                </c:pt>
                <c:pt idx="185">
                  <c:v>-0.0002145697287969832</c:v>
                </c:pt>
                <c:pt idx="186">
                  <c:v>-0.0011333601735186978</c:v>
                </c:pt>
                <c:pt idx="187">
                  <c:v>-0.022919851952461368</c:v>
                </c:pt>
                <c:pt idx="188">
                  <c:v>0.012309378169635796</c:v>
                </c:pt>
                <c:pt idx="189">
                  <c:v>0.009100655844652177</c:v>
                </c:pt>
                <c:pt idx="190">
                  <c:v>0.02635184305552158</c:v>
                </c:pt>
                <c:pt idx="191">
                  <c:v>-0.013734343942591633</c:v>
                </c:pt>
                <c:pt idx="192">
                  <c:v>0.030554794359969707</c:v>
                </c:pt>
                <c:pt idx="193">
                  <c:v>0.0015489323642183365</c:v>
                </c:pt>
                <c:pt idx="194">
                  <c:v>0.026404099300281238</c:v>
                </c:pt>
                <c:pt idx="195">
                  <c:v>0.04463570940044526</c:v>
                </c:pt>
                <c:pt idx="196">
                  <c:v>0.056948192050614625</c:v>
                </c:pt>
                <c:pt idx="197">
                  <c:v>0.0009923750178971844</c:v>
                </c:pt>
                <c:pt idx="198">
                  <c:v>0.00965204977087868</c:v>
                </c:pt>
                <c:pt idx="199">
                  <c:v>0.03265331850980797</c:v>
                </c:pt>
                <c:pt idx="200">
                  <c:v>0.01110049607945257</c:v>
                </c:pt>
                <c:pt idx="201">
                  <c:v>0.01426897661800823</c:v>
                </c:pt>
                <c:pt idx="202">
                  <c:v>-0.001995682388520212</c:v>
                </c:pt>
                <c:pt idx="203">
                  <c:v>0.0065831435570021185</c:v>
                </c:pt>
                <c:pt idx="204">
                  <c:v>0.0016741053888547407</c:v>
                </c:pt>
                <c:pt idx="205">
                  <c:v>0.0020005720343409714</c:v>
                </c:pt>
                <c:pt idx="206">
                  <c:v>0.005084468702004834</c:v>
                </c:pt>
                <c:pt idx="207">
                  <c:v>0.03134551523297073</c:v>
                </c:pt>
                <c:pt idx="208">
                  <c:v>-0.00014304514422927014</c:v>
                </c:pt>
                <c:pt idx="209">
                  <c:v>-0.001198932723689058</c:v>
                </c:pt>
                <c:pt idx="210">
                  <c:v>0.0105340149624065</c:v>
                </c:pt>
                <c:pt idx="211">
                  <c:v>0.002140898808964765</c:v>
                </c:pt>
                <c:pt idx="212">
                  <c:v>0.028370354354594715</c:v>
                </c:pt>
                <c:pt idx="213">
                  <c:v>0.04277857959247519</c:v>
                </c:pt>
                <c:pt idx="214">
                  <c:v>0.029800541613454436</c:v>
                </c:pt>
                <c:pt idx="215">
                  <c:v>-0.0148550115619959</c:v>
                </c:pt>
                <c:pt idx="216">
                  <c:v>0.011712128969657789</c:v>
                </c:pt>
                <c:pt idx="217">
                  <c:v>0.003745017818954996</c:v>
                </c:pt>
                <c:pt idx="218">
                  <c:v>0.015856243854807564</c:v>
                </c:pt>
                <c:pt idx="219">
                  <c:v>0.013053129859856816</c:v>
                </c:pt>
                <c:pt idx="220">
                  <c:v>-0.006274531695170134</c:v>
                </c:pt>
                <c:pt idx="221">
                  <c:v>-0.051961724760744586</c:v>
                </c:pt>
                <c:pt idx="222">
                  <c:v>-0.0019303362648351887</c:v>
                </c:pt>
                <c:pt idx="223">
                  <c:v>0.01680146698850339</c:v>
                </c:pt>
                <c:pt idx="224">
                  <c:v>0.018752658293768463</c:v>
                </c:pt>
                <c:pt idx="225">
                  <c:v>0.01625783015888359</c:v>
                </c:pt>
                <c:pt idx="226">
                  <c:v>0.041058759223156646</c:v>
                </c:pt>
                <c:pt idx="227">
                  <c:v>0.0002628126967147307</c:v>
                </c:pt>
                <c:pt idx="228">
                  <c:v>0.015345470293703565</c:v>
                </c:pt>
                <c:pt idx="229">
                  <c:v>0.011454916658666794</c:v>
                </c:pt>
                <c:pt idx="230">
                  <c:v>0.003731029274112563</c:v>
                </c:pt>
                <c:pt idx="231">
                  <c:v>-0.015581582510656217</c:v>
                </c:pt>
                <c:pt idx="232">
                  <c:v>0.0003743522870398762</c:v>
                </c:pt>
                <c:pt idx="233">
                  <c:v>-0.006527980249847202</c:v>
                </c:pt>
                <c:pt idx="234">
                  <c:v>-0.021168006214791254</c:v>
                </c:pt>
                <c:pt idx="235">
                  <c:v>-0.001168546297251701</c:v>
                </c:pt>
                <c:pt idx="236">
                  <c:v>0.030409889488356132</c:v>
                </c:pt>
                <c:pt idx="237">
                  <c:v>0.025861052759907754</c:v>
                </c:pt>
                <c:pt idx="238">
                  <c:v>0.00641291402231334</c:v>
                </c:pt>
                <c:pt idx="239">
                  <c:v>0.00902807711528701</c:v>
                </c:pt>
                <c:pt idx="240">
                  <c:v>-0.0020622430249399447</c:v>
                </c:pt>
                <c:pt idx="241">
                  <c:v>0.013217594981702233</c:v>
                </c:pt>
                <c:pt idx="242">
                  <c:v>0.006730419186693779</c:v>
                </c:pt>
                <c:pt idx="243">
                  <c:v>-0.0037596664769546408</c:v>
                </c:pt>
                <c:pt idx="244">
                  <c:v>-0.008800221672239344</c:v>
                </c:pt>
                <c:pt idx="245">
                  <c:v>0.003683190565950302</c:v>
                </c:pt>
                <c:pt idx="246">
                  <c:v>0.01474504562713539</c:v>
                </c:pt>
                <c:pt idx="247">
                  <c:v>0.018604570903049632</c:v>
                </c:pt>
                <c:pt idx="248">
                  <c:v>0.012993785401483826</c:v>
                </c:pt>
                <c:pt idx="249">
                  <c:v>0.0069143213583980605</c:v>
                </c:pt>
                <c:pt idx="250">
                  <c:v>0.035598931300794244</c:v>
                </c:pt>
                <c:pt idx="251">
                  <c:v>-0.0010126658157488333</c:v>
                </c:pt>
                <c:pt idx="252">
                  <c:v>0.006770763853486866</c:v>
                </c:pt>
                <c:pt idx="253">
                  <c:v>-0.0018486163448093534</c:v>
                </c:pt>
                <c:pt idx="254">
                  <c:v>-0.0015227884907591648</c:v>
                </c:pt>
                <c:pt idx="255">
                  <c:v>0.003852047949444434</c:v>
                </c:pt>
                <c:pt idx="256">
                  <c:v>-0.0038864652116788485</c:v>
                </c:pt>
                <c:pt idx="257">
                  <c:v>0.004651293392340471</c:v>
                </c:pt>
                <c:pt idx="258">
                  <c:v>0.018132770597669795</c:v>
                </c:pt>
                <c:pt idx="259">
                  <c:v>-0.014428036415536753</c:v>
                </c:pt>
                <c:pt idx="260">
                  <c:v>0.01281384250261954</c:v>
                </c:pt>
                <c:pt idx="261">
                  <c:v>-0.022642504280829617</c:v>
                </c:pt>
                <c:pt idx="262">
                  <c:v>-0.021165352181109185</c:v>
                </c:pt>
                <c:pt idx="263">
                  <c:v>-0.037100495271655584</c:v>
                </c:pt>
                <c:pt idx="264">
                  <c:v>0.014022355422628198</c:v>
                </c:pt>
                <c:pt idx="265">
                  <c:v>-0.045267235243015395</c:v>
                </c:pt>
                <c:pt idx="266">
                  <c:v>-0.019814571858015106</c:v>
                </c:pt>
                <c:pt idx="267">
                  <c:v>-0.022849263701771174</c:v>
                </c:pt>
                <c:pt idx="268">
                  <c:v>0.015461955996775044</c:v>
                </c:pt>
                <c:pt idx="269">
                  <c:v>0.022253858957513972</c:v>
                </c:pt>
                <c:pt idx="270">
                  <c:v>0.04301516587931326</c:v>
                </c:pt>
                <c:pt idx="271">
                  <c:v>0.02362817052528449</c:v>
                </c:pt>
                <c:pt idx="272">
                  <c:v>0.01610952491968516</c:v>
                </c:pt>
                <c:pt idx="273">
                  <c:v>0.01950960025137785</c:v>
                </c:pt>
                <c:pt idx="274">
                  <c:v>-0.0058933676411863836</c:v>
                </c:pt>
                <c:pt idx="275">
                  <c:v>-0.0024361117248163228</c:v>
                </c:pt>
                <c:pt idx="276">
                  <c:v>-0.008709609599866303</c:v>
                </c:pt>
                <c:pt idx="277">
                  <c:v>-0.0017940292020914516</c:v>
                </c:pt>
                <c:pt idx="278">
                  <c:v>0.026460566592069214</c:v>
                </c:pt>
                <c:pt idx="279">
                  <c:v>-0.012565526554989482</c:v>
                </c:pt>
                <c:pt idx="280">
                  <c:v>-0.0028097965755929347</c:v>
                </c:pt>
                <c:pt idx="281">
                  <c:v>0.00024407605185873844</c:v>
                </c:pt>
                <c:pt idx="282">
                  <c:v>0.004866200948790483</c:v>
                </c:pt>
                <c:pt idx="283">
                  <c:v>-0.0026273737233867456</c:v>
                </c:pt>
                <c:pt idx="284">
                  <c:v>0.0005060437345556437</c:v>
                </c:pt>
                <c:pt idx="285">
                  <c:v>-0.0033112240247190573</c:v>
                </c:pt>
                <c:pt idx="286">
                  <c:v>-0.0172318531096698</c:v>
                </c:pt>
                <c:pt idx="287">
                  <c:v>-0.006397396922852276</c:v>
                </c:pt>
                <c:pt idx="288">
                  <c:v>0.0026204885703739384</c:v>
                </c:pt>
                <c:pt idx="289">
                  <c:v>-0.011925430231208227</c:v>
                </c:pt>
                <c:pt idx="290">
                  <c:v>-0.0032669563197198787</c:v>
                </c:pt>
                <c:pt idx="291">
                  <c:v>0.007666550568068565</c:v>
                </c:pt>
                <c:pt idx="292">
                  <c:v>0.005746802400367172</c:v>
                </c:pt>
                <c:pt idx="293">
                  <c:v>0.003170962597438021</c:v>
                </c:pt>
                <c:pt idx="294">
                  <c:v>0.06169771272530073</c:v>
                </c:pt>
                <c:pt idx="295">
                  <c:v>-0.007543731600258244</c:v>
                </c:pt>
                <c:pt idx="296">
                  <c:v>-0.003068155378428401</c:v>
                </c:pt>
                <c:pt idx="297">
                  <c:v>0.0003828695843774345</c:v>
                </c:pt>
                <c:pt idx="298">
                  <c:v>-0.004210724127618648</c:v>
                </c:pt>
                <c:pt idx="299">
                  <c:v>-0.010882128485055646</c:v>
                </c:pt>
                <c:pt idx="300">
                  <c:v>-0.005299470973029838</c:v>
                </c:pt>
                <c:pt idx="301">
                  <c:v>0.01281985069524388</c:v>
                </c:pt>
                <c:pt idx="302">
                  <c:v>-0.016739540411350968</c:v>
                </c:pt>
              </c:numCache>
            </c:numRef>
          </c:val>
          <c:smooth val="0"/>
        </c:ser>
        <c:ser>
          <c:idx val="1"/>
          <c:order val="1"/>
          <c:tx>
            <c:v>% CHANGE OF SET INDEX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'Perf.'!$A$4:$A$500</c:f>
              <c:strCache>
                <c:ptCount val="4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  <c:pt idx="110">
                  <c:v>3/4</c:v>
                </c:pt>
                <c:pt idx="111">
                  <c:v>4/4</c:v>
                </c:pt>
                <c:pt idx="112">
                  <c:v>8/4</c:v>
                </c:pt>
                <c:pt idx="113">
                  <c:v>9/4</c:v>
                </c:pt>
                <c:pt idx="114">
                  <c:v>10/4</c:v>
                </c:pt>
                <c:pt idx="115">
                  <c:v>11/4</c:v>
                </c:pt>
                <c:pt idx="116">
                  <c:v>16/4</c:v>
                </c:pt>
                <c:pt idx="117">
                  <c:v>17/4</c:v>
                </c:pt>
                <c:pt idx="118">
                  <c:v>18/4</c:v>
                </c:pt>
                <c:pt idx="119">
                  <c:v>21/4</c:v>
                </c:pt>
                <c:pt idx="120">
                  <c:v>22/4</c:v>
                </c:pt>
                <c:pt idx="121">
                  <c:v>23/4</c:v>
                </c:pt>
                <c:pt idx="122">
                  <c:v>24/4</c:v>
                </c:pt>
                <c:pt idx="123">
                  <c:v>25/4</c:v>
                </c:pt>
                <c:pt idx="124">
                  <c:v>28/4</c:v>
                </c:pt>
                <c:pt idx="125">
                  <c:v>29/4</c:v>
                </c:pt>
                <c:pt idx="126">
                  <c:v>30/4</c:v>
                </c:pt>
                <c:pt idx="127">
                  <c:v>2/5</c:v>
                </c:pt>
                <c:pt idx="128">
                  <c:v>6/5</c:v>
                </c:pt>
                <c:pt idx="129">
                  <c:v>7/5</c:v>
                </c:pt>
                <c:pt idx="130">
                  <c:v>8/5</c:v>
                </c:pt>
                <c:pt idx="131">
                  <c:v>9/5</c:v>
                </c:pt>
                <c:pt idx="132">
                  <c:v>12/5</c:v>
                </c:pt>
                <c:pt idx="133">
                  <c:v>13/5</c:v>
                </c:pt>
                <c:pt idx="134">
                  <c:v>14/5</c:v>
                </c:pt>
                <c:pt idx="135">
                  <c:v>16/5</c:v>
                </c:pt>
                <c:pt idx="136">
                  <c:v>19/5</c:v>
                </c:pt>
                <c:pt idx="137">
                  <c:v>20/5</c:v>
                </c:pt>
                <c:pt idx="138">
                  <c:v>21/5</c:v>
                </c:pt>
                <c:pt idx="139">
                  <c:v>22/5</c:v>
                </c:pt>
                <c:pt idx="140">
                  <c:v>23/5</c:v>
                </c:pt>
                <c:pt idx="141">
                  <c:v>26/5</c:v>
                </c:pt>
                <c:pt idx="142">
                  <c:v>27/5</c:v>
                </c:pt>
                <c:pt idx="143">
                  <c:v>28/5</c:v>
                </c:pt>
                <c:pt idx="144">
                  <c:v>29/5</c:v>
                </c:pt>
                <c:pt idx="145">
                  <c:v>30/5</c:v>
                </c:pt>
                <c:pt idx="146">
                  <c:v>2/6</c:v>
                </c:pt>
                <c:pt idx="147">
                  <c:v>3/6</c:v>
                </c:pt>
                <c:pt idx="148">
                  <c:v>4/6</c:v>
                </c:pt>
                <c:pt idx="149">
                  <c:v>5/6</c:v>
                </c:pt>
                <c:pt idx="150">
                  <c:v>6/6</c:v>
                </c:pt>
                <c:pt idx="151">
                  <c:v>9/6</c:v>
                </c:pt>
                <c:pt idx="152">
                  <c:v>10/6</c:v>
                </c:pt>
                <c:pt idx="153">
                  <c:v>11/6</c:v>
                </c:pt>
                <c:pt idx="154">
                  <c:v>12/6</c:v>
                </c:pt>
                <c:pt idx="155">
                  <c:v>13/6</c:v>
                </c:pt>
                <c:pt idx="156">
                  <c:v>16/6</c:v>
                </c:pt>
                <c:pt idx="157">
                  <c:v>17/6</c:v>
                </c:pt>
                <c:pt idx="158">
                  <c:v>18/6</c:v>
                </c:pt>
                <c:pt idx="159">
                  <c:v>19/6</c:v>
                </c:pt>
                <c:pt idx="160">
                  <c:v>20/6</c:v>
                </c:pt>
                <c:pt idx="161">
                  <c:v>23/6</c:v>
                </c:pt>
                <c:pt idx="162">
                  <c:v>24/6</c:v>
                </c:pt>
                <c:pt idx="163">
                  <c:v>25/6</c:v>
                </c:pt>
                <c:pt idx="164">
                  <c:v>26/6</c:v>
                </c:pt>
                <c:pt idx="165">
                  <c:v>27/6</c:v>
                </c:pt>
                <c:pt idx="166">
                  <c:v>30/6</c:v>
                </c:pt>
                <c:pt idx="167">
                  <c:v>2/7</c:v>
                </c:pt>
                <c:pt idx="168">
                  <c:v>3/7</c:v>
                </c:pt>
                <c:pt idx="169">
                  <c:v>4/7</c:v>
                </c:pt>
                <c:pt idx="170">
                  <c:v>7/7</c:v>
                </c:pt>
                <c:pt idx="171">
                  <c:v>8/7</c:v>
                </c:pt>
                <c:pt idx="172">
                  <c:v>9/7</c:v>
                </c:pt>
                <c:pt idx="173">
                  <c:v>10/7</c:v>
                </c:pt>
                <c:pt idx="174">
                  <c:v>11/7</c:v>
                </c:pt>
                <c:pt idx="175">
                  <c:v>15/7</c:v>
                </c:pt>
                <c:pt idx="176">
                  <c:v>16/7</c:v>
                </c:pt>
                <c:pt idx="177">
                  <c:v>17/7</c:v>
                </c:pt>
                <c:pt idx="178">
                  <c:v>18/7</c:v>
                </c:pt>
                <c:pt idx="179">
                  <c:v>21/7</c:v>
                </c:pt>
                <c:pt idx="180">
                  <c:v>22/7</c:v>
                </c:pt>
                <c:pt idx="181">
                  <c:v>23/7</c:v>
                </c:pt>
                <c:pt idx="182">
                  <c:v>24/7</c:v>
                </c:pt>
                <c:pt idx="183">
                  <c:v>25/7</c:v>
                </c:pt>
                <c:pt idx="184">
                  <c:v>28/7</c:v>
                </c:pt>
                <c:pt idx="185">
                  <c:v>29/7</c:v>
                </c:pt>
                <c:pt idx="186">
                  <c:v>30/7</c:v>
                </c:pt>
                <c:pt idx="187">
                  <c:v>31/7</c:v>
                </c:pt>
                <c:pt idx="188">
                  <c:v>1/8</c:v>
                </c:pt>
                <c:pt idx="189">
                  <c:v>4/8</c:v>
                </c:pt>
                <c:pt idx="190">
                  <c:v>5/8</c:v>
                </c:pt>
                <c:pt idx="191">
                  <c:v>6/8</c:v>
                </c:pt>
                <c:pt idx="192">
                  <c:v>7/8</c:v>
                </c:pt>
                <c:pt idx="193">
                  <c:v>8/8</c:v>
                </c:pt>
                <c:pt idx="194">
                  <c:v>11/8</c:v>
                </c:pt>
                <c:pt idx="195">
                  <c:v>13/8</c:v>
                </c:pt>
                <c:pt idx="196">
                  <c:v>14/8</c:v>
                </c:pt>
                <c:pt idx="197">
                  <c:v>15/8</c:v>
                </c:pt>
                <c:pt idx="198">
                  <c:v>18/8</c:v>
                </c:pt>
                <c:pt idx="199">
                  <c:v>19/8</c:v>
                </c:pt>
                <c:pt idx="200">
                  <c:v>20/8</c:v>
                </c:pt>
                <c:pt idx="201">
                  <c:v>21/8</c:v>
                </c:pt>
                <c:pt idx="202">
                  <c:v>22/8</c:v>
                </c:pt>
                <c:pt idx="203">
                  <c:v>25/8</c:v>
                </c:pt>
                <c:pt idx="204">
                  <c:v>26/8</c:v>
                </c:pt>
                <c:pt idx="205">
                  <c:v>27/8</c:v>
                </c:pt>
                <c:pt idx="206">
                  <c:v>28/8</c:v>
                </c:pt>
                <c:pt idx="207">
                  <c:v>29/8</c:v>
                </c:pt>
                <c:pt idx="208">
                  <c:v>1/9</c:v>
                </c:pt>
                <c:pt idx="209">
                  <c:v>2/9</c:v>
                </c:pt>
                <c:pt idx="210">
                  <c:v>3/9</c:v>
                </c:pt>
                <c:pt idx="211">
                  <c:v>4/9</c:v>
                </c:pt>
                <c:pt idx="212">
                  <c:v>5/9</c:v>
                </c:pt>
                <c:pt idx="213">
                  <c:v>8/9</c:v>
                </c:pt>
                <c:pt idx="214">
                  <c:v>9/9</c:v>
                </c:pt>
                <c:pt idx="215">
                  <c:v>10/9</c:v>
                </c:pt>
                <c:pt idx="216">
                  <c:v>11/9</c:v>
                </c:pt>
                <c:pt idx="217">
                  <c:v>12/9</c:v>
                </c:pt>
                <c:pt idx="218">
                  <c:v>15/9</c:v>
                </c:pt>
                <c:pt idx="219">
                  <c:v>16/9</c:v>
                </c:pt>
                <c:pt idx="220">
                  <c:v>17/9</c:v>
                </c:pt>
                <c:pt idx="221">
                  <c:v>18/9</c:v>
                </c:pt>
                <c:pt idx="222">
                  <c:v>19/9</c:v>
                </c:pt>
                <c:pt idx="223">
                  <c:v>22/9</c:v>
                </c:pt>
                <c:pt idx="224">
                  <c:v>23/9</c:v>
                </c:pt>
                <c:pt idx="225">
                  <c:v>24/9</c:v>
                </c:pt>
                <c:pt idx="226">
                  <c:v>25/9</c:v>
                </c:pt>
                <c:pt idx="227">
                  <c:v>26/9</c:v>
                </c:pt>
                <c:pt idx="228">
                  <c:v>29/9</c:v>
                </c:pt>
                <c:pt idx="229">
                  <c:v>30/9</c:v>
                </c:pt>
                <c:pt idx="230">
                  <c:v>1/10</c:v>
                </c:pt>
                <c:pt idx="231">
                  <c:v>2/10</c:v>
                </c:pt>
                <c:pt idx="232">
                  <c:v>3/10</c:v>
                </c:pt>
                <c:pt idx="233">
                  <c:v>6/10</c:v>
                </c:pt>
                <c:pt idx="234">
                  <c:v>7/10</c:v>
                </c:pt>
                <c:pt idx="235">
                  <c:v>8/10</c:v>
                </c:pt>
                <c:pt idx="236">
                  <c:v>9/10</c:v>
                </c:pt>
                <c:pt idx="237">
                  <c:v>10/10</c:v>
                </c:pt>
                <c:pt idx="238">
                  <c:v>13/10</c:v>
                </c:pt>
                <c:pt idx="239">
                  <c:v>14/10</c:v>
                </c:pt>
                <c:pt idx="240">
                  <c:v>15/10</c:v>
                </c:pt>
                <c:pt idx="241">
                  <c:v>16/10</c:v>
                </c:pt>
                <c:pt idx="242">
                  <c:v>17/10</c:v>
                </c:pt>
                <c:pt idx="243">
                  <c:v>20/10</c:v>
                </c:pt>
                <c:pt idx="244">
                  <c:v>21/10</c:v>
                </c:pt>
                <c:pt idx="245">
                  <c:v>22/10</c:v>
                </c:pt>
                <c:pt idx="246">
                  <c:v>24/10</c:v>
                </c:pt>
                <c:pt idx="247">
                  <c:v>27/10</c:v>
                </c:pt>
                <c:pt idx="248">
                  <c:v>28/10</c:v>
                </c:pt>
                <c:pt idx="249">
                  <c:v>29/10</c:v>
                </c:pt>
                <c:pt idx="250">
                  <c:v>30/10</c:v>
                </c:pt>
                <c:pt idx="251">
                  <c:v>31/10</c:v>
                </c:pt>
                <c:pt idx="252">
                  <c:v>3/11</c:v>
                </c:pt>
                <c:pt idx="253">
                  <c:v>4/11</c:v>
                </c:pt>
                <c:pt idx="254">
                  <c:v>5/11</c:v>
                </c:pt>
                <c:pt idx="255">
                  <c:v>6/11</c:v>
                </c:pt>
                <c:pt idx="256">
                  <c:v>7/11</c:v>
                </c:pt>
                <c:pt idx="257">
                  <c:v>10/11</c:v>
                </c:pt>
                <c:pt idx="258">
                  <c:v>11/11</c:v>
                </c:pt>
                <c:pt idx="259">
                  <c:v>12/11</c:v>
                </c:pt>
                <c:pt idx="260">
                  <c:v>13/11</c:v>
                </c:pt>
                <c:pt idx="261">
                  <c:v>14/11</c:v>
                </c:pt>
                <c:pt idx="262">
                  <c:v>17/11</c:v>
                </c:pt>
                <c:pt idx="263">
                  <c:v>18/11</c:v>
                </c:pt>
                <c:pt idx="264">
                  <c:v>19/11</c:v>
                </c:pt>
                <c:pt idx="265">
                  <c:v>20/11</c:v>
                </c:pt>
                <c:pt idx="266">
                  <c:v>21/11</c:v>
                </c:pt>
                <c:pt idx="267">
                  <c:v>24/11</c:v>
                </c:pt>
                <c:pt idx="268">
                  <c:v>25/11</c:v>
                </c:pt>
                <c:pt idx="269">
                  <c:v>26/11</c:v>
                </c:pt>
                <c:pt idx="270">
                  <c:v>27/11</c:v>
                </c:pt>
                <c:pt idx="271">
                  <c:v>28/11</c:v>
                </c:pt>
                <c:pt idx="272">
                  <c:v>1/12</c:v>
                </c:pt>
                <c:pt idx="273">
                  <c:v>2/12</c:v>
                </c:pt>
                <c:pt idx="274">
                  <c:v>3/12</c:v>
                </c:pt>
                <c:pt idx="275">
                  <c:v>4/12</c:v>
                </c:pt>
                <c:pt idx="276">
                  <c:v>8/12</c:v>
                </c:pt>
                <c:pt idx="277">
                  <c:v>9/12</c:v>
                </c:pt>
                <c:pt idx="278">
                  <c:v>11/12</c:v>
                </c:pt>
                <c:pt idx="279">
                  <c:v>12/12</c:v>
                </c:pt>
                <c:pt idx="280">
                  <c:v>15/12</c:v>
                </c:pt>
                <c:pt idx="281">
                  <c:v>16/12</c:v>
                </c:pt>
                <c:pt idx="282">
                  <c:v>17/12</c:v>
                </c:pt>
                <c:pt idx="283">
                  <c:v>18/12</c:v>
                </c:pt>
                <c:pt idx="284">
                  <c:v>19/12</c:v>
                </c:pt>
                <c:pt idx="285">
                  <c:v>22/12</c:v>
                </c:pt>
                <c:pt idx="286">
                  <c:v>23/12</c:v>
                </c:pt>
                <c:pt idx="287">
                  <c:v>24/12</c:v>
                </c:pt>
                <c:pt idx="288">
                  <c:v>25/12</c:v>
                </c:pt>
                <c:pt idx="289">
                  <c:v>26/12</c:v>
                </c:pt>
                <c:pt idx="290">
                  <c:v>29/12</c:v>
                </c:pt>
                <c:pt idx="291">
                  <c:v>30/12</c:v>
                </c:pt>
                <c:pt idx="292">
                  <c:v>31/12</c:v>
                </c:pt>
                <c:pt idx="293">
                  <c:v>5/1</c:v>
                </c:pt>
                <c:pt idx="294">
                  <c:v>6/1</c:v>
                </c:pt>
                <c:pt idx="295">
                  <c:v>7/1</c:v>
                </c:pt>
                <c:pt idx="296">
                  <c:v>8/1</c:v>
                </c:pt>
                <c:pt idx="297">
                  <c:v>9/1</c:v>
                </c:pt>
                <c:pt idx="298">
                  <c:v>12/1</c:v>
                </c:pt>
                <c:pt idx="299">
                  <c:v>13/1</c:v>
                </c:pt>
                <c:pt idx="300">
                  <c:v>14/1</c:v>
                </c:pt>
                <c:pt idx="301">
                  <c:v>15/1</c:v>
                </c:pt>
              </c:strCache>
            </c:strRef>
          </c:cat>
          <c:val>
            <c:numRef>
              <c:f>'Perf.'!$H$3:$H$500</c:f>
              <c:numCache>
                <c:ptCount val="498"/>
                <c:pt idx="0">
                  <c:v>0</c:v>
                </c:pt>
                <c:pt idx="1">
                  <c:v>0.005605902172650189</c:v>
                </c:pt>
                <c:pt idx="2">
                  <c:v>0.0010975997227116359</c:v>
                </c:pt>
                <c:pt idx="3">
                  <c:v>0.005395423987997359</c:v>
                </c:pt>
                <c:pt idx="4">
                  <c:v>0.025713137806348037</c:v>
                </c:pt>
                <c:pt idx="5">
                  <c:v>-0.009708466230205437</c:v>
                </c:pt>
                <c:pt idx="6">
                  <c:v>0.002966520695013452</c:v>
                </c:pt>
                <c:pt idx="7">
                  <c:v>0.00625352112676064</c:v>
                </c:pt>
                <c:pt idx="8">
                  <c:v>0.0012877218520798933</c:v>
                </c:pt>
                <c:pt idx="9">
                  <c:v>0.0031312905390293126</c:v>
                </c:pt>
                <c:pt idx="10">
                  <c:v>-0.008444816053511788</c:v>
                </c:pt>
                <c:pt idx="11">
                  <c:v>-0.005537285324788404</c:v>
                </c:pt>
                <c:pt idx="12">
                  <c:v>0.010344827586206806</c:v>
                </c:pt>
                <c:pt idx="13">
                  <c:v>-0.00688188888267213</c:v>
                </c:pt>
                <c:pt idx="14">
                  <c:v>-0.01307042253521123</c:v>
                </c:pt>
                <c:pt idx="15">
                  <c:v>-0.015098755565703906</c:v>
                </c:pt>
                <c:pt idx="16">
                  <c:v>-0.004057147825078903</c:v>
                </c:pt>
                <c:pt idx="17">
                  <c:v>0.015363575523030734</c:v>
                </c:pt>
                <c:pt idx="18">
                  <c:v>0.02089124516406368</c:v>
                </c:pt>
                <c:pt idx="19">
                  <c:v>0.002414102852009919</c:v>
                </c:pt>
                <c:pt idx="20">
                  <c:v>-0.00974516942033049</c:v>
                </c:pt>
                <c:pt idx="21">
                  <c:v>-0.004072167863808602</c:v>
                </c:pt>
                <c:pt idx="22">
                  <c:v>0.01777500141972852</c:v>
                </c:pt>
                <c:pt idx="23">
                  <c:v>0.01157794888963279</c:v>
                </c:pt>
                <c:pt idx="24">
                  <c:v>0.005350395763810359</c:v>
                </c:pt>
                <c:pt idx="25">
                  <c:v>-0.009107618028694465</c:v>
                </c:pt>
                <c:pt idx="26">
                  <c:v>0.00038758616871084194</c:v>
                </c:pt>
                <c:pt idx="27">
                  <c:v>0.008136156081361553</c:v>
                </c:pt>
                <c:pt idx="28">
                  <c:v>0.001674490104037873</c:v>
                </c:pt>
                <c:pt idx="29">
                  <c:v>0.004850644012058205</c:v>
                </c:pt>
                <c:pt idx="30">
                  <c:v>-0.006763574876592081</c:v>
                </c:pt>
                <c:pt idx="31">
                  <c:v>0.002059364617370054</c:v>
                </c:pt>
                <c:pt idx="32">
                  <c:v>0.00041102647010461246</c:v>
                </c:pt>
                <c:pt idx="33">
                  <c:v>0.0007121531677122019</c:v>
                </c:pt>
                <c:pt idx="34">
                  <c:v>0.00030108115505667656</c:v>
                </c:pt>
                <c:pt idx="35">
                  <c:v>-0.01094511027198599</c:v>
                </c:pt>
                <c:pt idx="36">
                  <c:v>-0.01455209428429146</c:v>
                </c:pt>
                <c:pt idx="37">
                  <c:v>-0.006372824256035884</c:v>
                </c:pt>
                <c:pt idx="38">
                  <c:v>-0.0031079592009720077</c:v>
                </c:pt>
                <c:pt idx="39">
                  <c:v>-0.00626363971317626</c:v>
                </c:pt>
                <c:pt idx="40">
                  <c:v>-0.0010552735154868648</c:v>
                </c:pt>
                <c:pt idx="41">
                  <c:v>-0.0006852248394004542</c:v>
                </c:pt>
                <c:pt idx="42">
                  <c:v>0.0015428130624839875</c:v>
                </c:pt>
                <c:pt idx="43">
                  <c:v>0.001084010840108388</c:v>
                </c:pt>
                <c:pt idx="44">
                  <c:v>0.0070669364260679286</c:v>
                </c:pt>
                <c:pt idx="45">
                  <c:v>0.005517670694094645</c:v>
                </c:pt>
                <c:pt idx="46">
                  <c:v>0.003151733453399382</c:v>
                </c:pt>
                <c:pt idx="47">
                  <c:v>-0.01391382405745073</c:v>
                </c:pt>
                <c:pt idx="48">
                  <c:v>0.01624374146563506</c:v>
                </c:pt>
                <c:pt idx="49">
                  <c:v>0.019371273409288018</c:v>
                </c:pt>
                <c:pt idx="50">
                  <c:v>0.0037347247013593677</c:v>
                </c:pt>
                <c:pt idx="51">
                  <c:v>-0.013953106618149889</c:v>
                </c:pt>
                <c:pt idx="52">
                  <c:v>-0.004578119364057696</c:v>
                </c:pt>
                <c:pt idx="53">
                  <c:v>0.00448767978592935</c:v>
                </c:pt>
                <c:pt idx="54">
                  <c:v>0.010211726836307148</c:v>
                </c:pt>
                <c:pt idx="55">
                  <c:v>0.025491003982969298</c:v>
                </c:pt>
                <c:pt idx="56">
                  <c:v>-0.004044678970347926</c:v>
                </c:pt>
                <c:pt idx="57">
                  <c:v>-0.0036038943574847374</c:v>
                </c:pt>
                <c:pt idx="58">
                  <c:v>-0.008961347441157399</c:v>
                </c:pt>
                <c:pt idx="59">
                  <c:v>0.011684279333260604</c:v>
                </c:pt>
                <c:pt idx="60">
                  <c:v>0.012006999596177242</c:v>
                </c:pt>
                <c:pt idx="61">
                  <c:v>-0.007288978744912369</c:v>
                </c:pt>
                <c:pt idx="62">
                  <c:v>0.009084331537904939</c:v>
                </c:pt>
                <c:pt idx="63">
                  <c:v>-0.0006904610155087925</c:v>
                </c:pt>
                <c:pt idx="64">
                  <c:v>-0.014615997874036673</c:v>
                </c:pt>
                <c:pt idx="65">
                  <c:v>0.010679611650485381</c:v>
                </c:pt>
                <c:pt idx="66">
                  <c:v>-0.013528658341338439</c:v>
                </c:pt>
                <c:pt idx="67">
                  <c:v>0.0016500311071438601</c:v>
                </c:pt>
                <c:pt idx="68">
                  <c:v>-0.0007831487982717268</c:v>
                </c:pt>
                <c:pt idx="69">
                  <c:v>0.006459284884192283</c:v>
                </c:pt>
                <c:pt idx="70">
                  <c:v>0.002604726100966776</c:v>
                </c:pt>
                <c:pt idx="71">
                  <c:v>-0.00024104775423850828</c:v>
                </c:pt>
                <c:pt idx="72">
                  <c:v>0.01559151307329632</c:v>
                </c:pt>
                <c:pt idx="73">
                  <c:v>-0.0003956739646532158</c:v>
                </c:pt>
                <c:pt idx="74">
                  <c:v>-0.009156880854993985</c:v>
                </c:pt>
                <c:pt idx="75">
                  <c:v>0.009747523170341877</c:v>
                </c:pt>
                <c:pt idx="76">
                  <c:v>0.0029540539114838965</c:v>
                </c:pt>
                <c:pt idx="77">
                  <c:v>-0.026324094040919347</c:v>
                </c:pt>
                <c:pt idx="78">
                  <c:v>-0.004159351789331588</c:v>
                </c:pt>
                <c:pt idx="79">
                  <c:v>0.004719155976241516</c:v>
                </c:pt>
                <c:pt idx="80">
                  <c:v>0.0019705763260899397</c:v>
                </c:pt>
                <c:pt idx="81">
                  <c:v>-0.01821218815668945</c:v>
                </c:pt>
                <c:pt idx="82">
                  <c:v>-0.01341858295373482</c:v>
                </c:pt>
                <c:pt idx="83">
                  <c:v>0.007120407198286659</c:v>
                </c:pt>
                <c:pt idx="84">
                  <c:v>-0.01472009721339994</c:v>
                </c:pt>
                <c:pt idx="85">
                  <c:v>-0.002074223567664562</c:v>
                </c:pt>
                <c:pt idx="86">
                  <c:v>0.008061344868265841</c:v>
                </c:pt>
                <c:pt idx="87">
                  <c:v>0.006770876870350266</c:v>
                </c:pt>
                <c:pt idx="88">
                  <c:v>0.017574449241669496</c:v>
                </c:pt>
                <c:pt idx="89">
                  <c:v>-0.008485870481681954</c:v>
                </c:pt>
                <c:pt idx="90">
                  <c:v>-0.012755451927033421</c:v>
                </c:pt>
                <c:pt idx="91">
                  <c:v>-0.0026118366212836835</c:v>
                </c:pt>
                <c:pt idx="92">
                  <c:v>-0.0013371963449965495</c:v>
                </c:pt>
                <c:pt idx="93">
                  <c:v>-0.014477795135014498</c:v>
                </c:pt>
                <c:pt idx="94">
                  <c:v>-0.006538537745195172</c:v>
                </c:pt>
                <c:pt idx="95">
                  <c:v>0.004159781184112996</c:v>
                </c:pt>
                <c:pt idx="96">
                  <c:v>0.002950856883441211</c:v>
                </c:pt>
                <c:pt idx="97">
                  <c:v>0.013466108407830685</c:v>
                </c:pt>
                <c:pt idx="98">
                  <c:v>-0.01013287181777578</c:v>
                </c:pt>
                <c:pt idx="99">
                  <c:v>0.023236795352640956</c:v>
                </c:pt>
                <c:pt idx="100">
                  <c:v>-0.004740250792338507</c:v>
                </c:pt>
                <c:pt idx="101">
                  <c:v>0.008224185196466722</c:v>
                </c:pt>
                <c:pt idx="102">
                  <c:v>-0.0013183191430926069</c:v>
                </c:pt>
                <c:pt idx="103">
                  <c:v>-0.006435289588031549</c:v>
                </c:pt>
                <c:pt idx="104">
                  <c:v>0.006809123117803467</c:v>
                </c:pt>
                <c:pt idx="105">
                  <c:v>0.012096552482542412</c:v>
                </c:pt>
                <c:pt idx="106">
                  <c:v>0.0021730863258543256</c:v>
                </c:pt>
                <c:pt idx="107">
                  <c:v>0.001599176017780601</c:v>
                </c:pt>
                <c:pt idx="108">
                  <c:v>-0.01347657835629032</c:v>
                </c:pt>
                <c:pt idx="109">
                  <c:v>-0.006391441503223108</c:v>
                </c:pt>
                <c:pt idx="110">
                  <c:v>0.0022086025067637196</c:v>
                </c:pt>
                <c:pt idx="111">
                  <c:v>0.005784805244890151</c:v>
                </c:pt>
                <c:pt idx="112">
                  <c:v>0.0186514022787029</c:v>
                </c:pt>
                <c:pt idx="113">
                  <c:v>0.010458957330680467</c:v>
                </c:pt>
                <c:pt idx="114">
                  <c:v>0.0010111223458038302</c:v>
                </c:pt>
                <c:pt idx="115">
                  <c:v>-0.0031366294524189445</c:v>
                </c:pt>
                <c:pt idx="116">
                  <c:v>0.022238813929923825</c:v>
                </c:pt>
                <c:pt idx="117">
                  <c:v>0.008295075125208698</c:v>
                </c:pt>
                <c:pt idx="118">
                  <c:v>-0.004941273865576719</c:v>
                </c:pt>
                <c:pt idx="119">
                  <c:v>-0.00033798715648804164</c:v>
                </c:pt>
                <c:pt idx="120">
                  <c:v>0.002600780234070221</c:v>
                </c:pt>
                <c:pt idx="121">
                  <c:v>-0.016939040207522627</c:v>
                </c:pt>
                <c:pt idx="122">
                  <c:v>-0.009446658046811201</c:v>
                </c:pt>
                <c:pt idx="123">
                  <c:v>-0.01513093049894778</c:v>
                </c:pt>
                <c:pt idx="124">
                  <c:v>-0.0031916907846690837</c:v>
                </c:pt>
                <c:pt idx="125">
                  <c:v>0.000868314655523431</c:v>
                </c:pt>
                <c:pt idx="126">
                  <c:v>0.011169852243459413</c:v>
                </c:pt>
                <c:pt idx="127">
                  <c:v>0.004450760114754452</c:v>
                </c:pt>
                <c:pt idx="128">
                  <c:v>0.0016282732295865617</c:v>
                </c:pt>
                <c:pt idx="129">
                  <c:v>0.01281846285044239</c:v>
                </c:pt>
                <c:pt idx="130">
                  <c:v>-0.0015787396395211754</c:v>
                </c:pt>
                <c:pt idx="131">
                  <c:v>-0.003294241665568586</c:v>
                </c:pt>
                <c:pt idx="132">
                  <c:v>0.01618191433104179</c:v>
                </c:pt>
                <c:pt idx="133">
                  <c:v>-0.002159658617818443</c:v>
                </c:pt>
                <c:pt idx="134">
                  <c:v>0.0086051787530314</c:v>
                </c:pt>
                <c:pt idx="135">
                  <c:v>-0.004059050130561786</c:v>
                </c:pt>
                <c:pt idx="136">
                  <c:v>-0.0057629406572868155</c:v>
                </c:pt>
                <c:pt idx="137">
                  <c:v>-0.010365535248041846</c:v>
                </c:pt>
                <c:pt idx="138">
                  <c:v>0.010394955544416154</c:v>
                </c:pt>
                <c:pt idx="139">
                  <c:v>0.011489150586207737</c:v>
                </c:pt>
                <c:pt idx="140">
                  <c:v>0.0032268890208327953</c:v>
                </c:pt>
                <c:pt idx="141">
                  <c:v>0.017755133549482726</c:v>
                </c:pt>
                <c:pt idx="142">
                  <c:v>0.003438511326860876</c:v>
                </c:pt>
                <c:pt idx="143">
                  <c:v>0.009599879056641811</c:v>
                </c:pt>
                <c:pt idx="144">
                  <c:v>0.0057151413811176235</c:v>
                </c:pt>
                <c:pt idx="145">
                  <c:v>0.0010422353466672267</c:v>
                </c:pt>
                <c:pt idx="146">
                  <c:v>0.0010411502231036588</c:v>
                </c:pt>
                <c:pt idx="147">
                  <c:v>0.002377296815412757</c:v>
                </c:pt>
                <c:pt idx="148">
                  <c:v>-0.0026928207915410222</c:v>
                </c:pt>
                <c:pt idx="149">
                  <c:v>0.022269563278753523</c:v>
                </c:pt>
                <c:pt idx="150">
                  <c:v>0.007148395851507194</c:v>
                </c:pt>
                <c:pt idx="151">
                  <c:v>0.006207444120972943</c:v>
                </c:pt>
                <c:pt idx="152">
                  <c:v>0.002558523229956226</c:v>
                </c:pt>
                <c:pt idx="153">
                  <c:v>0.01137664567830576</c:v>
                </c:pt>
                <c:pt idx="154">
                  <c:v>-0.003419408088668762</c:v>
                </c:pt>
                <c:pt idx="155">
                  <c:v>0.021604353999053468</c:v>
                </c:pt>
                <c:pt idx="156">
                  <c:v>-0.008709146920529013</c:v>
                </c:pt>
                <c:pt idx="157">
                  <c:v>0.004159170035282783</c:v>
                </c:pt>
                <c:pt idx="158">
                  <c:v>0.029203025014543367</c:v>
                </c:pt>
                <c:pt idx="159">
                  <c:v>0.008817544652950435</c:v>
                </c:pt>
                <c:pt idx="160">
                  <c:v>0.01790676826535188</c:v>
                </c:pt>
                <c:pt idx="161">
                  <c:v>-0.0033686342720006444</c:v>
                </c:pt>
                <c:pt idx="162">
                  <c:v>0.01354217293332743</c:v>
                </c:pt>
                <c:pt idx="163">
                  <c:v>-0.0191154994659867</c:v>
                </c:pt>
                <c:pt idx="164">
                  <c:v>0.008599617794764687</c:v>
                </c:pt>
                <c:pt idx="165">
                  <c:v>0.012007314547577582</c:v>
                </c:pt>
                <c:pt idx="166">
                  <c:v>-0.003983977010493282</c:v>
                </c:pt>
                <c:pt idx="167">
                  <c:v>0.009420559113462006</c:v>
                </c:pt>
                <c:pt idx="168">
                  <c:v>0.03445065176908758</c:v>
                </c:pt>
                <c:pt idx="169">
                  <c:v>0.025265317229397344</c:v>
                </c:pt>
                <c:pt idx="170">
                  <c:v>0.012086565945283822</c:v>
                </c:pt>
                <c:pt idx="171">
                  <c:v>-0.012890341321713957</c:v>
                </c:pt>
                <c:pt idx="172">
                  <c:v>0.014938793860993609</c:v>
                </c:pt>
                <c:pt idx="173">
                  <c:v>-0.028431056701030938</c:v>
                </c:pt>
                <c:pt idx="174">
                  <c:v>-0.01707701235181963</c:v>
                </c:pt>
                <c:pt idx="175">
                  <c:v>0.02131652188580588</c:v>
                </c:pt>
                <c:pt idx="176">
                  <c:v>0.02025227605854787</c:v>
                </c:pt>
                <c:pt idx="177">
                  <c:v>0.01819101578308379</c:v>
                </c:pt>
                <c:pt idx="178">
                  <c:v>-0.016117172439833887</c:v>
                </c:pt>
                <c:pt idx="179">
                  <c:v>-0.0041205461743555865</c:v>
                </c:pt>
                <c:pt idx="180">
                  <c:v>-0.011358104819081661</c:v>
                </c:pt>
                <c:pt idx="181">
                  <c:v>0.002338749384539608</c:v>
                </c:pt>
                <c:pt idx="182">
                  <c:v>-0.01666052642351301</c:v>
                </c:pt>
                <c:pt idx="183">
                  <c:v>-0.003205395054533387</c:v>
                </c:pt>
                <c:pt idx="184">
                  <c:v>0.012445186886615237</c:v>
                </c:pt>
                <c:pt idx="185">
                  <c:v>-0.009033535453532969</c:v>
                </c:pt>
                <c:pt idx="186">
                  <c:v>-0.004557942057942053</c:v>
                </c:pt>
                <c:pt idx="187">
                  <c:v>-0.007087750109766131</c:v>
                </c:pt>
                <c:pt idx="188">
                  <c:v>0.01939355653821865</c:v>
                </c:pt>
                <c:pt idx="189">
                  <c:v>0.015347751544070577</c:v>
                </c:pt>
                <c:pt idx="190">
                  <c:v>0.006713594010660281</c:v>
                </c:pt>
                <c:pt idx="191">
                  <c:v>-0.00980114784576826</c:v>
                </c:pt>
                <c:pt idx="192">
                  <c:v>-0.0004489887548726041</c:v>
                </c:pt>
                <c:pt idx="193">
                  <c:v>0.017579680258080353</c:v>
                </c:pt>
                <c:pt idx="194">
                  <c:v>0.010875235763874986</c:v>
                </c:pt>
                <c:pt idx="195">
                  <c:v>0.01863834855101239</c:v>
                </c:pt>
                <c:pt idx="196">
                  <c:v>0.02330520859720556</c:v>
                </c:pt>
                <c:pt idx="197">
                  <c:v>-0.012034656764733765</c:v>
                </c:pt>
                <c:pt idx="198">
                  <c:v>0.00040475685677374606</c:v>
                </c:pt>
                <c:pt idx="199">
                  <c:v>0.0028321516646116433</c:v>
                </c:pt>
                <c:pt idx="200">
                  <c:v>0.010432076232925523</c:v>
                </c:pt>
                <c:pt idx="201">
                  <c:v>-0.00920257063543376</c:v>
                </c:pt>
                <c:pt idx="202">
                  <c:v>0.01748224908846673</c:v>
                </c:pt>
                <c:pt idx="203">
                  <c:v>0.008675807698836137</c:v>
                </c:pt>
                <c:pt idx="204">
                  <c:v>-0.009872665058618899</c:v>
                </c:pt>
                <c:pt idx="205">
                  <c:v>0.0028893547107812076</c:v>
                </c:pt>
                <c:pt idx="206">
                  <c:v>-0.009867058336157678</c:v>
                </c:pt>
                <c:pt idx="207">
                  <c:v>0.019189076109695176</c:v>
                </c:pt>
                <c:pt idx="208">
                  <c:v>0.0033587729282903256</c:v>
                </c:pt>
                <c:pt idx="209">
                  <c:v>0.0139852336761451</c:v>
                </c:pt>
                <c:pt idx="210">
                  <c:v>-0.006107514260037123</c:v>
                </c:pt>
                <c:pt idx="211">
                  <c:v>-0.0037276250230669533</c:v>
                </c:pt>
                <c:pt idx="212">
                  <c:v>0.010280062236052372</c:v>
                </c:pt>
                <c:pt idx="213">
                  <c:v>0.02269768806262948</c:v>
                </c:pt>
                <c:pt idx="214">
                  <c:v>0.01183198580161708</c:v>
                </c:pt>
                <c:pt idx="215">
                  <c:v>-0.012154285005581075</c:v>
                </c:pt>
                <c:pt idx="216">
                  <c:v>0.005416554569097114</c:v>
                </c:pt>
                <c:pt idx="217">
                  <c:v>0.0019444493997179979</c:v>
                </c:pt>
                <c:pt idx="218">
                  <c:v>0.011946729338033752</c:v>
                </c:pt>
                <c:pt idx="219">
                  <c:v>-0.003219733624223729</c:v>
                </c:pt>
                <c:pt idx="220">
                  <c:v>0.004042079994351815</c:v>
                </c:pt>
                <c:pt idx="221">
                  <c:v>-0.017808484081359974</c:v>
                </c:pt>
                <c:pt idx="222">
                  <c:v>-0.00962949704671558</c:v>
                </c:pt>
                <c:pt idx="223">
                  <c:v>0.025103014530470587</c:v>
                </c:pt>
                <c:pt idx="224">
                  <c:v>-0.008850337617460872</c:v>
                </c:pt>
                <c:pt idx="225">
                  <c:v>0.007008306800192</c:v>
                </c:pt>
                <c:pt idx="226">
                  <c:v>0.016639287796089166</c:v>
                </c:pt>
                <c:pt idx="227">
                  <c:v>0.001963339414473105</c:v>
                </c:pt>
                <c:pt idx="228">
                  <c:v>0.007265727960047262</c:v>
                </c:pt>
                <c:pt idx="229">
                  <c:v>0.0001032933358581876</c:v>
                </c:pt>
                <c:pt idx="230">
                  <c:v>-0.0033566866920281824</c:v>
                </c:pt>
                <c:pt idx="231">
                  <c:v>-0.015941828733289608</c:v>
                </c:pt>
                <c:pt idx="232">
                  <c:v>-0.004791575252303674</c:v>
                </c:pt>
                <c:pt idx="233">
                  <c:v>-0.015308102006983793</c:v>
                </c:pt>
                <c:pt idx="234">
                  <c:v>-0.02503850700290149</c:v>
                </c:pt>
                <c:pt idx="235">
                  <c:v>5.511058858103592E-05</c:v>
                </c:pt>
                <c:pt idx="236">
                  <c:v>0.030033615606458647</c:v>
                </c:pt>
                <c:pt idx="237">
                  <c:v>0.022987480828904637</c:v>
                </c:pt>
                <c:pt idx="238">
                  <c:v>0.01485277966633541</c:v>
                </c:pt>
                <c:pt idx="239">
                  <c:v>-0.006115262389418441</c:v>
                </c:pt>
                <c:pt idx="240">
                  <c:v>-0.017490796591714347</c:v>
                </c:pt>
                <c:pt idx="241">
                  <c:v>0.013421992365472224</c:v>
                </c:pt>
                <c:pt idx="242">
                  <c:v>0.013035931261933675</c:v>
                </c:pt>
                <c:pt idx="243">
                  <c:v>0.008550230462123694</c:v>
                </c:pt>
                <c:pt idx="244">
                  <c:v>0.0071015970098538056</c:v>
                </c:pt>
                <c:pt idx="245">
                  <c:v>0.0004048719592429048</c:v>
                </c:pt>
                <c:pt idx="246">
                  <c:v>0.0198138342720313</c:v>
                </c:pt>
                <c:pt idx="247">
                  <c:v>0.007407774856557068</c:v>
                </c:pt>
                <c:pt idx="248">
                  <c:v>0.010553959786622815</c:v>
                </c:pt>
                <c:pt idx="249">
                  <c:v>-0.00047102390852384946</c:v>
                </c:pt>
                <c:pt idx="250">
                  <c:v>0.014088626724516095</c:v>
                </c:pt>
                <c:pt idx="251">
                  <c:v>0.0004967471076500002</c:v>
                </c:pt>
                <c:pt idx="252">
                  <c:v>0.02415234556432891</c:v>
                </c:pt>
                <c:pt idx="253">
                  <c:v>0.03207443897099068</c:v>
                </c:pt>
                <c:pt idx="254">
                  <c:v>0.007727741075216542</c:v>
                </c:pt>
                <c:pt idx="255">
                  <c:v>0.012991309054822273</c:v>
                </c:pt>
                <c:pt idx="256">
                  <c:v>-0.00914353569838219</c:v>
                </c:pt>
                <c:pt idx="257">
                  <c:v>0.005183209994906727</c:v>
                </c:pt>
                <c:pt idx="258">
                  <c:v>-0.009895678092399383</c:v>
                </c:pt>
                <c:pt idx="259">
                  <c:v>-0.025302546811969504</c:v>
                </c:pt>
                <c:pt idx="260">
                  <c:v>0.009173036831132816</c:v>
                </c:pt>
                <c:pt idx="261">
                  <c:v>0.007130943090177306</c:v>
                </c:pt>
                <c:pt idx="262">
                  <c:v>-0.001169946060928332</c:v>
                </c:pt>
                <c:pt idx="263">
                  <c:v>-0.025160485563905145</c:v>
                </c:pt>
                <c:pt idx="264">
                  <c:v>-0.006382248299107471</c:v>
                </c:pt>
                <c:pt idx="265">
                  <c:v>-0.02782881821751084</c:v>
                </c:pt>
                <c:pt idx="266">
                  <c:v>-0.007754066846517867</c:v>
                </c:pt>
                <c:pt idx="267">
                  <c:v>-0.001302443710011019</c:v>
                </c:pt>
                <c:pt idx="268">
                  <c:v>-0.013269647718566074</c:v>
                </c:pt>
                <c:pt idx="269">
                  <c:v>-0.0004295461679525367</c:v>
                </c:pt>
                <c:pt idx="270">
                  <c:v>0.042625985488323026</c:v>
                </c:pt>
                <c:pt idx="271">
                  <c:v>0.00702260549760621</c:v>
                </c:pt>
                <c:pt idx="272">
                  <c:v>0.016969696969696926</c:v>
                </c:pt>
                <c:pt idx="273">
                  <c:v>-0.007553828769561778</c:v>
                </c:pt>
                <c:pt idx="274">
                  <c:v>0.008562738828667253</c:v>
                </c:pt>
                <c:pt idx="275">
                  <c:v>0.019779166151181436</c:v>
                </c:pt>
                <c:pt idx="276">
                  <c:v>-0.0002123045660646109</c:v>
                </c:pt>
                <c:pt idx="277">
                  <c:v>0.007690090855314126</c:v>
                </c:pt>
                <c:pt idx="278">
                  <c:v>0.004094165813715496</c:v>
                </c:pt>
                <c:pt idx="279">
                  <c:v>0.010373568387599626</c:v>
                </c:pt>
                <c:pt idx="280">
                  <c:v>0.0006676557863502158</c:v>
                </c:pt>
                <c:pt idx="281">
                  <c:v>0.021647268144413832</c:v>
                </c:pt>
                <c:pt idx="282">
                  <c:v>0.004107103983745797</c:v>
                </c:pt>
                <c:pt idx="283">
                  <c:v>-0.005781349366942245</c:v>
                </c:pt>
                <c:pt idx="284">
                  <c:v>0.018971332209106174</c:v>
                </c:pt>
                <c:pt idx="285">
                  <c:v>0.011727276618207279</c:v>
                </c:pt>
                <c:pt idx="286">
                  <c:v>0.012945075089896445</c:v>
                </c:pt>
                <c:pt idx="287">
                  <c:v>0.00019489649603940577</c:v>
                </c:pt>
                <c:pt idx="288">
                  <c:v>0.006847885089147715</c:v>
                </c:pt>
                <c:pt idx="289">
                  <c:v>-0.0024053415170240244</c:v>
                </c:pt>
                <c:pt idx="290">
                  <c:v>0.018346844037968556</c:v>
                </c:pt>
                <c:pt idx="291">
                  <c:v>0.01622011457497035</c:v>
                </c:pt>
                <c:pt idx="292">
                  <c:v>0.023325879407078205</c:v>
                </c:pt>
                <c:pt idx="293">
                  <c:v>0.010363372283213115</c:v>
                </c:pt>
                <c:pt idx="294">
                  <c:v>0.02432169915171919</c:v>
                </c:pt>
                <c:pt idx="295">
                  <c:v>-0.026867105812145197</c:v>
                </c:pt>
                <c:pt idx="296">
                  <c:v>-0.024308803658663242</c:v>
                </c:pt>
                <c:pt idx="297">
                  <c:v>0.030067779005819043</c:v>
                </c:pt>
                <c:pt idx="298">
                  <c:v>0.012785211040010472</c:v>
                </c:pt>
                <c:pt idx="299">
                  <c:v>0.013491779842744736</c:v>
                </c:pt>
                <c:pt idx="300">
                  <c:v>-0.002241785367942435</c:v>
                </c:pt>
                <c:pt idx="301">
                  <c:v>-0.0017545409792610559</c:v>
                </c:pt>
                <c:pt idx="302">
                  <c:v>-0.02965201557837242</c:v>
                </c:pt>
              </c:numCache>
            </c:numRef>
          </c:val>
          <c:smooth val="0"/>
        </c:ser>
        <c:marker val="1"/>
        <c:axId val="65074353"/>
        <c:axId val="48798266"/>
      </c:lineChart>
      <c:catAx>
        <c:axId val="6507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Cordia New"/>
                    <a:ea typeface="Cordia New"/>
                    <a:cs typeface="Cordia New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13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798266"/>
        <c:crosses val="autoZero"/>
        <c:auto val="1"/>
        <c:lblOffset val="100"/>
        <c:noMultiLvlLbl val="0"/>
      </c:catAx>
      <c:valAx>
        <c:axId val="48798266"/>
        <c:scaling>
          <c:orientation val="minMax"/>
          <c:max val="0.08"/>
          <c:min val="-0.0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Cordia New"/>
                    <a:ea typeface="Cordia New"/>
                    <a:cs typeface="Cordia New"/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507435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425"/>
          <c:y val="0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Cordia New"/>
                <a:ea typeface="Cordia New"/>
                <a:cs typeface="Cordia New"/>
              </a:rPr>
              <a:t>RETURN SINCE 21/OCT/2002 : NAV vs 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7975"/>
          <c:w val="0.89425"/>
          <c:h val="0.745"/>
        </c:manualLayout>
      </c:layout>
      <c:lineChart>
        <c:grouping val="standard"/>
        <c:varyColors val="0"/>
        <c:ser>
          <c:idx val="0"/>
          <c:order val="0"/>
          <c:tx>
            <c:v>RETURN OF NAV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'Perf.'!$A$4:$A$500</c:f>
              <c:strCache>
                <c:ptCount val="4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  <c:pt idx="110">
                  <c:v>3/4</c:v>
                </c:pt>
                <c:pt idx="111">
                  <c:v>4/4</c:v>
                </c:pt>
                <c:pt idx="112">
                  <c:v>8/4</c:v>
                </c:pt>
                <c:pt idx="113">
                  <c:v>9/4</c:v>
                </c:pt>
                <c:pt idx="114">
                  <c:v>10/4</c:v>
                </c:pt>
                <c:pt idx="115">
                  <c:v>11/4</c:v>
                </c:pt>
                <c:pt idx="116">
                  <c:v>16/4</c:v>
                </c:pt>
                <c:pt idx="117">
                  <c:v>17/4</c:v>
                </c:pt>
                <c:pt idx="118">
                  <c:v>18/4</c:v>
                </c:pt>
                <c:pt idx="119">
                  <c:v>21/4</c:v>
                </c:pt>
                <c:pt idx="120">
                  <c:v>22/4</c:v>
                </c:pt>
                <c:pt idx="121">
                  <c:v>23/4</c:v>
                </c:pt>
                <c:pt idx="122">
                  <c:v>24/4</c:v>
                </c:pt>
                <c:pt idx="123">
                  <c:v>25/4</c:v>
                </c:pt>
                <c:pt idx="124">
                  <c:v>28/4</c:v>
                </c:pt>
                <c:pt idx="125">
                  <c:v>29/4</c:v>
                </c:pt>
                <c:pt idx="126">
                  <c:v>30/4</c:v>
                </c:pt>
                <c:pt idx="127">
                  <c:v>2/5</c:v>
                </c:pt>
                <c:pt idx="128">
                  <c:v>6/5</c:v>
                </c:pt>
                <c:pt idx="129">
                  <c:v>7/5</c:v>
                </c:pt>
                <c:pt idx="130">
                  <c:v>8/5</c:v>
                </c:pt>
                <c:pt idx="131">
                  <c:v>9/5</c:v>
                </c:pt>
                <c:pt idx="132">
                  <c:v>12/5</c:v>
                </c:pt>
                <c:pt idx="133">
                  <c:v>13/5</c:v>
                </c:pt>
                <c:pt idx="134">
                  <c:v>14/5</c:v>
                </c:pt>
                <c:pt idx="135">
                  <c:v>16/5</c:v>
                </c:pt>
                <c:pt idx="136">
                  <c:v>19/5</c:v>
                </c:pt>
                <c:pt idx="137">
                  <c:v>20/5</c:v>
                </c:pt>
                <c:pt idx="138">
                  <c:v>21/5</c:v>
                </c:pt>
                <c:pt idx="139">
                  <c:v>22/5</c:v>
                </c:pt>
                <c:pt idx="140">
                  <c:v>23/5</c:v>
                </c:pt>
                <c:pt idx="141">
                  <c:v>26/5</c:v>
                </c:pt>
                <c:pt idx="142">
                  <c:v>27/5</c:v>
                </c:pt>
                <c:pt idx="143">
                  <c:v>28/5</c:v>
                </c:pt>
                <c:pt idx="144">
                  <c:v>29/5</c:v>
                </c:pt>
                <c:pt idx="145">
                  <c:v>30/5</c:v>
                </c:pt>
                <c:pt idx="146">
                  <c:v>2/6</c:v>
                </c:pt>
                <c:pt idx="147">
                  <c:v>3/6</c:v>
                </c:pt>
                <c:pt idx="148">
                  <c:v>4/6</c:v>
                </c:pt>
                <c:pt idx="149">
                  <c:v>5/6</c:v>
                </c:pt>
                <c:pt idx="150">
                  <c:v>6/6</c:v>
                </c:pt>
                <c:pt idx="151">
                  <c:v>9/6</c:v>
                </c:pt>
                <c:pt idx="152">
                  <c:v>10/6</c:v>
                </c:pt>
                <c:pt idx="153">
                  <c:v>11/6</c:v>
                </c:pt>
                <c:pt idx="154">
                  <c:v>12/6</c:v>
                </c:pt>
                <c:pt idx="155">
                  <c:v>13/6</c:v>
                </c:pt>
                <c:pt idx="156">
                  <c:v>16/6</c:v>
                </c:pt>
                <c:pt idx="157">
                  <c:v>17/6</c:v>
                </c:pt>
                <c:pt idx="158">
                  <c:v>18/6</c:v>
                </c:pt>
                <c:pt idx="159">
                  <c:v>19/6</c:v>
                </c:pt>
                <c:pt idx="160">
                  <c:v>20/6</c:v>
                </c:pt>
                <c:pt idx="161">
                  <c:v>23/6</c:v>
                </c:pt>
                <c:pt idx="162">
                  <c:v>24/6</c:v>
                </c:pt>
                <c:pt idx="163">
                  <c:v>25/6</c:v>
                </c:pt>
                <c:pt idx="164">
                  <c:v>26/6</c:v>
                </c:pt>
                <c:pt idx="165">
                  <c:v>27/6</c:v>
                </c:pt>
                <c:pt idx="166">
                  <c:v>30/6</c:v>
                </c:pt>
                <c:pt idx="167">
                  <c:v>2/7</c:v>
                </c:pt>
                <c:pt idx="168">
                  <c:v>3/7</c:v>
                </c:pt>
                <c:pt idx="169">
                  <c:v>4/7</c:v>
                </c:pt>
                <c:pt idx="170">
                  <c:v>7/7</c:v>
                </c:pt>
                <c:pt idx="171">
                  <c:v>8/7</c:v>
                </c:pt>
                <c:pt idx="172">
                  <c:v>9/7</c:v>
                </c:pt>
                <c:pt idx="173">
                  <c:v>10/7</c:v>
                </c:pt>
                <c:pt idx="174">
                  <c:v>11/7</c:v>
                </c:pt>
                <c:pt idx="175">
                  <c:v>15/7</c:v>
                </c:pt>
                <c:pt idx="176">
                  <c:v>16/7</c:v>
                </c:pt>
                <c:pt idx="177">
                  <c:v>17/7</c:v>
                </c:pt>
                <c:pt idx="178">
                  <c:v>18/7</c:v>
                </c:pt>
                <c:pt idx="179">
                  <c:v>21/7</c:v>
                </c:pt>
                <c:pt idx="180">
                  <c:v>22/7</c:v>
                </c:pt>
                <c:pt idx="181">
                  <c:v>23/7</c:v>
                </c:pt>
                <c:pt idx="182">
                  <c:v>24/7</c:v>
                </c:pt>
                <c:pt idx="183">
                  <c:v>25/7</c:v>
                </c:pt>
                <c:pt idx="184">
                  <c:v>28/7</c:v>
                </c:pt>
                <c:pt idx="185">
                  <c:v>29/7</c:v>
                </c:pt>
                <c:pt idx="186">
                  <c:v>30/7</c:v>
                </c:pt>
                <c:pt idx="187">
                  <c:v>31/7</c:v>
                </c:pt>
                <c:pt idx="188">
                  <c:v>1/8</c:v>
                </c:pt>
                <c:pt idx="189">
                  <c:v>4/8</c:v>
                </c:pt>
                <c:pt idx="190">
                  <c:v>5/8</c:v>
                </c:pt>
                <c:pt idx="191">
                  <c:v>6/8</c:v>
                </c:pt>
                <c:pt idx="192">
                  <c:v>7/8</c:v>
                </c:pt>
                <c:pt idx="193">
                  <c:v>8/8</c:v>
                </c:pt>
                <c:pt idx="194">
                  <c:v>11/8</c:v>
                </c:pt>
                <c:pt idx="195">
                  <c:v>13/8</c:v>
                </c:pt>
                <c:pt idx="196">
                  <c:v>14/8</c:v>
                </c:pt>
                <c:pt idx="197">
                  <c:v>15/8</c:v>
                </c:pt>
                <c:pt idx="198">
                  <c:v>18/8</c:v>
                </c:pt>
                <c:pt idx="199">
                  <c:v>19/8</c:v>
                </c:pt>
                <c:pt idx="200">
                  <c:v>20/8</c:v>
                </c:pt>
                <c:pt idx="201">
                  <c:v>21/8</c:v>
                </c:pt>
                <c:pt idx="202">
                  <c:v>22/8</c:v>
                </c:pt>
                <c:pt idx="203">
                  <c:v>25/8</c:v>
                </c:pt>
                <c:pt idx="204">
                  <c:v>26/8</c:v>
                </c:pt>
                <c:pt idx="205">
                  <c:v>27/8</c:v>
                </c:pt>
                <c:pt idx="206">
                  <c:v>28/8</c:v>
                </c:pt>
                <c:pt idx="207">
                  <c:v>29/8</c:v>
                </c:pt>
                <c:pt idx="208">
                  <c:v>1/9</c:v>
                </c:pt>
                <c:pt idx="209">
                  <c:v>2/9</c:v>
                </c:pt>
                <c:pt idx="210">
                  <c:v>3/9</c:v>
                </c:pt>
                <c:pt idx="211">
                  <c:v>4/9</c:v>
                </c:pt>
                <c:pt idx="212">
                  <c:v>5/9</c:v>
                </c:pt>
                <c:pt idx="213">
                  <c:v>8/9</c:v>
                </c:pt>
                <c:pt idx="214">
                  <c:v>9/9</c:v>
                </c:pt>
                <c:pt idx="215">
                  <c:v>10/9</c:v>
                </c:pt>
                <c:pt idx="216">
                  <c:v>11/9</c:v>
                </c:pt>
                <c:pt idx="217">
                  <c:v>12/9</c:v>
                </c:pt>
                <c:pt idx="218">
                  <c:v>15/9</c:v>
                </c:pt>
                <c:pt idx="219">
                  <c:v>16/9</c:v>
                </c:pt>
                <c:pt idx="220">
                  <c:v>17/9</c:v>
                </c:pt>
                <c:pt idx="221">
                  <c:v>18/9</c:v>
                </c:pt>
                <c:pt idx="222">
                  <c:v>19/9</c:v>
                </c:pt>
                <c:pt idx="223">
                  <c:v>22/9</c:v>
                </c:pt>
                <c:pt idx="224">
                  <c:v>23/9</c:v>
                </c:pt>
                <c:pt idx="225">
                  <c:v>24/9</c:v>
                </c:pt>
                <c:pt idx="226">
                  <c:v>25/9</c:v>
                </c:pt>
                <c:pt idx="227">
                  <c:v>26/9</c:v>
                </c:pt>
                <c:pt idx="228">
                  <c:v>29/9</c:v>
                </c:pt>
                <c:pt idx="229">
                  <c:v>30/9</c:v>
                </c:pt>
                <c:pt idx="230">
                  <c:v>1/10</c:v>
                </c:pt>
                <c:pt idx="231">
                  <c:v>2/10</c:v>
                </c:pt>
                <c:pt idx="232">
                  <c:v>3/10</c:v>
                </c:pt>
                <c:pt idx="233">
                  <c:v>6/10</c:v>
                </c:pt>
                <c:pt idx="234">
                  <c:v>7/10</c:v>
                </c:pt>
                <c:pt idx="235">
                  <c:v>8/10</c:v>
                </c:pt>
                <c:pt idx="236">
                  <c:v>9/10</c:v>
                </c:pt>
                <c:pt idx="237">
                  <c:v>10/10</c:v>
                </c:pt>
                <c:pt idx="238">
                  <c:v>13/10</c:v>
                </c:pt>
                <c:pt idx="239">
                  <c:v>14/10</c:v>
                </c:pt>
                <c:pt idx="240">
                  <c:v>15/10</c:v>
                </c:pt>
                <c:pt idx="241">
                  <c:v>16/10</c:v>
                </c:pt>
                <c:pt idx="242">
                  <c:v>17/10</c:v>
                </c:pt>
                <c:pt idx="243">
                  <c:v>20/10</c:v>
                </c:pt>
                <c:pt idx="244">
                  <c:v>21/10</c:v>
                </c:pt>
                <c:pt idx="245">
                  <c:v>22/10</c:v>
                </c:pt>
                <c:pt idx="246">
                  <c:v>24/10</c:v>
                </c:pt>
                <c:pt idx="247">
                  <c:v>27/10</c:v>
                </c:pt>
                <c:pt idx="248">
                  <c:v>28/10</c:v>
                </c:pt>
                <c:pt idx="249">
                  <c:v>29/10</c:v>
                </c:pt>
                <c:pt idx="250">
                  <c:v>30/10</c:v>
                </c:pt>
                <c:pt idx="251">
                  <c:v>31/10</c:v>
                </c:pt>
                <c:pt idx="252">
                  <c:v>3/11</c:v>
                </c:pt>
                <c:pt idx="253">
                  <c:v>4/11</c:v>
                </c:pt>
                <c:pt idx="254">
                  <c:v>5/11</c:v>
                </c:pt>
                <c:pt idx="255">
                  <c:v>6/11</c:v>
                </c:pt>
                <c:pt idx="256">
                  <c:v>7/11</c:v>
                </c:pt>
                <c:pt idx="257">
                  <c:v>10/11</c:v>
                </c:pt>
                <c:pt idx="258">
                  <c:v>11/11</c:v>
                </c:pt>
                <c:pt idx="259">
                  <c:v>12/11</c:v>
                </c:pt>
                <c:pt idx="260">
                  <c:v>13/11</c:v>
                </c:pt>
                <c:pt idx="261">
                  <c:v>14/11</c:v>
                </c:pt>
                <c:pt idx="262">
                  <c:v>17/11</c:v>
                </c:pt>
                <c:pt idx="263">
                  <c:v>18/11</c:v>
                </c:pt>
                <c:pt idx="264">
                  <c:v>19/11</c:v>
                </c:pt>
                <c:pt idx="265">
                  <c:v>20/11</c:v>
                </c:pt>
                <c:pt idx="266">
                  <c:v>21/11</c:v>
                </c:pt>
                <c:pt idx="267">
                  <c:v>24/11</c:v>
                </c:pt>
                <c:pt idx="268">
                  <c:v>25/11</c:v>
                </c:pt>
                <c:pt idx="269">
                  <c:v>26/11</c:v>
                </c:pt>
                <c:pt idx="270">
                  <c:v>27/11</c:v>
                </c:pt>
                <c:pt idx="271">
                  <c:v>28/11</c:v>
                </c:pt>
                <c:pt idx="272">
                  <c:v>1/12</c:v>
                </c:pt>
                <c:pt idx="273">
                  <c:v>2/12</c:v>
                </c:pt>
                <c:pt idx="274">
                  <c:v>3/12</c:v>
                </c:pt>
                <c:pt idx="275">
                  <c:v>4/12</c:v>
                </c:pt>
                <c:pt idx="276">
                  <c:v>8/12</c:v>
                </c:pt>
                <c:pt idx="277">
                  <c:v>9/12</c:v>
                </c:pt>
                <c:pt idx="278">
                  <c:v>11/12</c:v>
                </c:pt>
                <c:pt idx="279">
                  <c:v>12/12</c:v>
                </c:pt>
                <c:pt idx="280">
                  <c:v>15/12</c:v>
                </c:pt>
                <c:pt idx="281">
                  <c:v>16/12</c:v>
                </c:pt>
                <c:pt idx="282">
                  <c:v>17/12</c:v>
                </c:pt>
                <c:pt idx="283">
                  <c:v>18/12</c:v>
                </c:pt>
                <c:pt idx="284">
                  <c:v>19/12</c:v>
                </c:pt>
                <c:pt idx="285">
                  <c:v>22/12</c:v>
                </c:pt>
                <c:pt idx="286">
                  <c:v>23/12</c:v>
                </c:pt>
                <c:pt idx="287">
                  <c:v>24/12</c:v>
                </c:pt>
                <c:pt idx="288">
                  <c:v>25/12</c:v>
                </c:pt>
                <c:pt idx="289">
                  <c:v>26/12</c:v>
                </c:pt>
                <c:pt idx="290">
                  <c:v>29/12</c:v>
                </c:pt>
                <c:pt idx="291">
                  <c:v>30/12</c:v>
                </c:pt>
                <c:pt idx="292">
                  <c:v>31/12</c:v>
                </c:pt>
                <c:pt idx="293">
                  <c:v>5/1</c:v>
                </c:pt>
                <c:pt idx="294">
                  <c:v>6/1</c:v>
                </c:pt>
                <c:pt idx="295">
                  <c:v>7/1</c:v>
                </c:pt>
                <c:pt idx="296">
                  <c:v>8/1</c:v>
                </c:pt>
                <c:pt idx="297">
                  <c:v>9/1</c:v>
                </c:pt>
                <c:pt idx="298">
                  <c:v>12/1</c:v>
                </c:pt>
                <c:pt idx="299">
                  <c:v>13/1</c:v>
                </c:pt>
                <c:pt idx="300">
                  <c:v>14/1</c:v>
                </c:pt>
                <c:pt idx="301">
                  <c:v>15/1</c:v>
                </c:pt>
              </c:strCache>
            </c:strRef>
          </c:cat>
          <c:val>
            <c:numRef>
              <c:f>'Perf.'!$E$3:$E$500</c:f>
              <c:numCache>
                <c:ptCount val="498"/>
                <c:pt idx="0">
                  <c:v>0</c:v>
                </c:pt>
                <c:pt idx="1">
                  <c:v>0.0165297424820363</c:v>
                </c:pt>
                <c:pt idx="2">
                  <c:v>0.039687023476448306</c:v>
                </c:pt>
                <c:pt idx="3">
                  <c:v>0.05057345902698026</c:v>
                </c:pt>
                <c:pt idx="4">
                  <c:v>0.06238498558561813</c:v>
                </c:pt>
                <c:pt idx="5">
                  <c:v>0.05846157579754637</c:v>
                </c:pt>
                <c:pt idx="6">
                  <c:v>0.06128266328262184</c:v>
                </c:pt>
                <c:pt idx="7">
                  <c:v>0.06445638670333169</c:v>
                </c:pt>
                <c:pt idx="8">
                  <c:v>0.08490927097012892</c:v>
                </c:pt>
                <c:pt idx="9">
                  <c:v>0.07543219783175024</c:v>
                </c:pt>
                <c:pt idx="10">
                  <c:v>0.04228441988211342</c:v>
                </c:pt>
                <c:pt idx="11">
                  <c:v>0.03913905597562787</c:v>
                </c:pt>
                <c:pt idx="12">
                  <c:v>0.05124844093514989</c:v>
                </c:pt>
                <c:pt idx="13">
                  <c:v>0.04825628953591458</c:v>
                </c:pt>
                <c:pt idx="14">
                  <c:v>0.05250633279503997</c:v>
                </c:pt>
                <c:pt idx="15">
                  <c:v>0.033577501121005514</c:v>
                </c:pt>
                <c:pt idx="16">
                  <c:v>0.03233551292002893</c:v>
                </c:pt>
                <c:pt idx="17">
                  <c:v>0.028609548317099012</c:v>
                </c:pt>
                <c:pt idx="18">
                  <c:v>-0.001283027350171664</c:v>
                </c:pt>
                <c:pt idx="19">
                  <c:v>0.002786378040033128</c:v>
                </c:pt>
                <c:pt idx="20">
                  <c:v>-0.013313331815967003</c:v>
                </c:pt>
                <c:pt idx="21">
                  <c:v>-0.004464165884008513</c:v>
                </c:pt>
                <c:pt idx="22">
                  <c:v>0.00022530378090440952</c:v>
                </c:pt>
                <c:pt idx="23">
                  <c:v>0.009047716522226338</c:v>
                </c:pt>
                <c:pt idx="24">
                  <c:v>0.009047716522226338</c:v>
                </c:pt>
                <c:pt idx="25">
                  <c:v>0.006401390089400318</c:v>
                </c:pt>
                <c:pt idx="26">
                  <c:v>0.003420968309823009</c:v>
                </c:pt>
                <c:pt idx="27">
                  <c:v>0.00044054653024570086</c:v>
                </c:pt>
                <c:pt idx="28">
                  <c:v>0.014107622915063421</c:v>
                </c:pt>
                <c:pt idx="29">
                  <c:v>0.014107622915063421</c:v>
                </c:pt>
                <c:pt idx="30">
                  <c:v>0.0013790895368671313</c:v>
                </c:pt>
                <c:pt idx="31">
                  <c:v>-0.0018030438076819413</c:v>
                </c:pt>
                <c:pt idx="32">
                  <c:v>-0.003924466037381323</c:v>
                </c:pt>
                <c:pt idx="33">
                  <c:v>-0.007106599381930395</c:v>
                </c:pt>
                <c:pt idx="34">
                  <c:v>0.0017949236509253136</c:v>
                </c:pt>
                <c:pt idx="35">
                  <c:v>0.009219901454873149</c:v>
                </c:pt>
                <c:pt idx="36">
                  <c:v>0.00356277550900819</c:v>
                </c:pt>
                <c:pt idx="37">
                  <c:v>-0.0022711356226651973</c:v>
                </c:pt>
                <c:pt idx="38">
                  <c:v>0.0009789822329384465</c:v>
                </c:pt>
                <c:pt idx="39">
                  <c:v>0.002586562055848964</c:v>
                </c:pt>
                <c:pt idx="40">
                  <c:v>0.003083575927230317</c:v>
                </c:pt>
                <c:pt idx="41">
                  <c:v>0.0007200287070478159</c:v>
                </c:pt>
                <c:pt idx="42">
                  <c:v>0.0007148534770814936</c:v>
                </c:pt>
                <c:pt idx="43">
                  <c:v>0.0021130426600199453</c:v>
                </c:pt>
                <c:pt idx="44">
                  <c:v>0.029257247079191327</c:v>
                </c:pt>
                <c:pt idx="45">
                  <c:v>0.056794230384757505</c:v>
                </c:pt>
                <c:pt idx="46">
                  <c:v>0.05716719536258301</c:v>
                </c:pt>
                <c:pt idx="47">
                  <c:v>0.05554582155255742</c:v>
                </c:pt>
                <c:pt idx="48">
                  <c:v>0.05716117105811542</c:v>
                </c:pt>
                <c:pt idx="49">
                  <c:v>0.060764223969283146</c:v>
                </c:pt>
                <c:pt idx="50">
                  <c:v>0.05219447071165815</c:v>
                </c:pt>
                <c:pt idx="51">
                  <c:v>0.011329422852622072</c:v>
                </c:pt>
                <c:pt idx="52">
                  <c:v>0.0016011799924690638</c:v>
                </c:pt>
                <c:pt idx="53">
                  <c:v>0.02084627940723692</c:v>
                </c:pt>
                <c:pt idx="54">
                  <c:v>0.06052429110273799</c:v>
                </c:pt>
                <c:pt idx="55">
                  <c:v>0.0854313437545282</c:v>
                </c:pt>
                <c:pt idx="56">
                  <c:v>0.0854313437545282</c:v>
                </c:pt>
                <c:pt idx="57">
                  <c:v>0.0854313437545282</c:v>
                </c:pt>
                <c:pt idx="58">
                  <c:v>0.0854313437545282</c:v>
                </c:pt>
                <c:pt idx="59">
                  <c:v>0.0854313437545282</c:v>
                </c:pt>
                <c:pt idx="60">
                  <c:v>0.0854313437545282</c:v>
                </c:pt>
                <c:pt idx="61">
                  <c:v>0.0854313437545282</c:v>
                </c:pt>
                <c:pt idx="62">
                  <c:v>0.0854313437545282</c:v>
                </c:pt>
                <c:pt idx="63">
                  <c:v>0.08718405982012986</c:v>
                </c:pt>
                <c:pt idx="64">
                  <c:v>0.10977454841970287</c:v>
                </c:pt>
                <c:pt idx="65">
                  <c:v>0.09964672887281326</c:v>
                </c:pt>
                <c:pt idx="66">
                  <c:v>0.10096975637225782</c:v>
                </c:pt>
                <c:pt idx="67">
                  <c:v>0.10096975637225782</c:v>
                </c:pt>
                <c:pt idx="68">
                  <c:v>0.10287619099493399</c:v>
                </c:pt>
                <c:pt idx="69">
                  <c:v>0.10287619099493645</c:v>
                </c:pt>
                <c:pt idx="70">
                  <c:v>0.10287619099493645</c:v>
                </c:pt>
                <c:pt idx="71">
                  <c:v>0.10096975637225782</c:v>
                </c:pt>
                <c:pt idx="72">
                  <c:v>0.10859549486296231</c:v>
                </c:pt>
                <c:pt idx="73">
                  <c:v>0.10478262561761015</c:v>
                </c:pt>
                <c:pt idx="74">
                  <c:v>0.10259826027960656</c:v>
                </c:pt>
                <c:pt idx="75">
                  <c:v>0.11428483345645178</c:v>
                </c:pt>
                <c:pt idx="76">
                  <c:v>0.11682969163064659</c:v>
                </c:pt>
                <c:pt idx="77">
                  <c:v>0.07954408313315035</c:v>
                </c:pt>
                <c:pt idx="78">
                  <c:v>0.08033270041198155</c:v>
                </c:pt>
                <c:pt idx="79">
                  <c:v>0.09342548816969486</c:v>
                </c:pt>
                <c:pt idx="80">
                  <c:v>0.08180824123113002</c:v>
                </c:pt>
                <c:pt idx="81">
                  <c:v>0.06313468917044009</c:v>
                </c:pt>
                <c:pt idx="82">
                  <c:v>0.053334385252063736</c:v>
                </c:pt>
                <c:pt idx="83">
                  <c:v>0.04976458084573701</c:v>
                </c:pt>
                <c:pt idx="84">
                  <c:v>0.007096801670223362</c:v>
                </c:pt>
                <c:pt idx="85">
                  <c:v>-0.0028407396121448592</c:v>
                </c:pt>
                <c:pt idx="86">
                  <c:v>0.0019210691379469716</c:v>
                </c:pt>
                <c:pt idx="87">
                  <c:v>0.012010361679569672</c:v>
                </c:pt>
                <c:pt idx="88">
                  <c:v>0.040070737283227326</c:v>
                </c:pt>
                <c:pt idx="89">
                  <c:v>0.04482611784478602</c:v>
                </c:pt>
                <c:pt idx="90">
                  <c:v>0.04133127013863823</c:v>
                </c:pt>
                <c:pt idx="91">
                  <c:v>0.03669742994832544</c:v>
                </c:pt>
                <c:pt idx="92">
                  <c:v>0.029906675371618115</c:v>
                </c:pt>
                <c:pt idx="93">
                  <c:v>0.02089519821836518</c:v>
                </c:pt>
                <c:pt idx="94">
                  <c:v>0.015611401772421289</c:v>
                </c:pt>
                <c:pt idx="95">
                  <c:v>0.015611401772421289</c:v>
                </c:pt>
                <c:pt idx="96">
                  <c:v>0.015603902962506262</c:v>
                </c:pt>
                <c:pt idx="97">
                  <c:v>0.015603902962506262</c:v>
                </c:pt>
                <c:pt idx="98">
                  <c:v>0.015603902962505033</c:v>
                </c:pt>
                <c:pt idx="99">
                  <c:v>0.015603902962505033</c:v>
                </c:pt>
                <c:pt idx="100">
                  <c:v>0.015603902962505033</c:v>
                </c:pt>
                <c:pt idx="101">
                  <c:v>6.776531110640122E-05</c:v>
                </c:pt>
                <c:pt idx="102">
                  <c:v>-0.019386962921803492</c:v>
                </c:pt>
                <c:pt idx="103">
                  <c:v>-0.0778977404141039</c:v>
                </c:pt>
                <c:pt idx="104">
                  <c:v>-0.0708316012725319</c:v>
                </c:pt>
                <c:pt idx="105">
                  <c:v>-0.06053157042244352</c:v>
                </c:pt>
                <c:pt idx="106">
                  <c:v>-0.06053157042244352</c:v>
                </c:pt>
                <c:pt idx="107">
                  <c:v>-0.06053157042244352</c:v>
                </c:pt>
                <c:pt idx="108">
                  <c:v>-0.13281664302150237</c:v>
                </c:pt>
                <c:pt idx="109">
                  <c:v>-0.1182557097343209</c:v>
                </c:pt>
                <c:pt idx="110">
                  <c:v>-0.08942489381493272</c:v>
                </c:pt>
                <c:pt idx="111">
                  <c:v>-0.08307782033077668</c:v>
                </c:pt>
                <c:pt idx="112">
                  <c:v>-0.06899341785364026</c:v>
                </c:pt>
                <c:pt idx="113">
                  <c:v>-0.0759266622419213</c:v>
                </c:pt>
                <c:pt idx="114">
                  <c:v>-0.07910242512625097</c:v>
                </c:pt>
                <c:pt idx="115">
                  <c:v>-0.07910242512625097</c:v>
                </c:pt>
                <c:pt idx="116">
                  <c:v>-0.07910242512625097</c:v>
                </c:pt>
                <c:pt idx="117">
                  <c:v>-0.07157884275495023</c:v>
                </c:pt>
                <c:pt idx="118">
                  <c:v>-0.0812520200894798</c:v>
                </c:pt>
                <c:pt idx="119">
                  <c:v>-0.08662600749755171</c:v>
                </c:pt>
                <c:pt idx="120">
                  <c:v>-0.0908087610301676</c:v>
                </c:pt>
                <c:pt idx="121">
                  <c:v>-0.09439141930221571</c:v>
                </c:pt>
                <c:pt idx="122">
                  <c:v>-0.09148344723595972</c:v>
                </c:pt>
                <c:pt idx="123">
                  <c:v>-0.09603947027366233</c:v>
                </c:pt>
                <c:pt idx="124">
                  <c:v>-0.10713945475739635</c:v>
                </c:pt>
                <c:pt idx="125">
                  <c:v>-0.11197534799747637</c:v>
                </c:pt>
                <c:pt idx="126">
                  <c:v>-0.09682312177822422</c:v>
                </c:pt>
                <c:pt idx="127">
                  <c:v>-0.08592719200924952</c:v>
                </c:pt>
                <c:pt idx="128">
                  <c:v>-0.08298969951546378</c:v>
                </c:pt>
                <c:pt idx="129">
                  <c:v>-0.07579772356886638</c:v>
                </c:pt>
                <c:pt idx="130">
                  <c:v>-0.07283760190671319</c:v>
                </c:pt>
                <c:pt idx="131">
                  <c:v>-0.07607110138672146</c:v>
                </c:pt>
                <c:pt idx="132">
                  <c:v>-0.0734128470534481</c:v>
                </c:pt>
                <c:pt idx="133">
                  <c:v>-0.07926039126050233</c:v>
                </c:pt>
                <c:pt idx="134">
                  <c:v>-0.08131576708020488</c:v>
                </c:pt>
                <c:pt idx="135">
                  <c:v>-0.07853158925109933</c:v>
                </c:pt>
                <c:pt idx="136">
                  <c:v>-0.10312758656020796</c:v>
                </c:pt>
                <c:pt idx="137">
                  <c:v>-0.1214204313555616</c:v>
                </c:pt>
                <c:pt idx="138">
                  <c:v>-0.11525430389645358</c:v>
                </c:pt>
                <c:pt idx="139">
                  <c:v>-0.11319892807675103</c:v>
                </c:pt>
                <c:pt idx="140">
                  <c:v>-0.10819751358214114</c:v>
                </c:pt>
                <c:pt idx="141">
                  <c:v>-0.10755711739749528</c:v>
                </c:pt>
                <c:pt idx="142">
                  <c:v>-0.11790250902333206</c:v>
                </c:pt>
                <c:pt idx="143">
                  <c:v>-0.12036896000697508</c:v>
                </c:pt>
                <c:pt idx="144">
                  <c:v>-0.11824507165994906</c:v>
                </c:pt>
                <c:pt idx="145">
                  <c:v>-0.11865614682388954</c:v>
                </c:pt>
                <c:pt idx="146">
                  <c:v>-0.1108488743960281</c:v>
                </c:pt>
                <c:pt idx="147">
                  <c:v>-0.10495679704621379</c:v>
                </c:pt>
                <c:pt idx="148">
                  <c:v>-0.10840105881981683</c:v>
                </c:pt>
                <c:pt idx="149">
                  <c:v>-0.10780842545846916</c:v>
                </c:pt>
                <c:pt idx="150">
                  <c:v>-0.10611959165994682</c:v>
                </c:pt>
                <c:pt idx="151">
                  <c:v>-0.10146073980195429</c:v>
                </c:pt>
                <c:pt idx="152">
                  <c:v>-0.10241991518448201</c:v>
                </c:pt>
                <c:pt idx="153">
                  <c:v>-0.09544172244151497</c:v>
                </c:pt>
                <c:pt idx="154">
                  <c:v>-0.10046711632068808</c:v>
                </c:pt>
                <c:pt idx="155">
                  <c:v>-0.10594811850656174</c:v>
                </c:pt>
                <c:pt idx="156">
                  <c:v>-0.10348166752291853</c:v>
                </c:pt>
                <c:pt idx="157">
                  <c:v>-0.0879978363478251</c:v>
                </c:pt>
                <c:pt idx="158">
                  <c:v>-0.07991335812366128</c:v>
                </c:pt>
                <c:pt idx="159">
                  <c:v>-0.09087259184880389</c:v>
                </c:pt>
                <c:pt idx="160">
                  <c:v>-0.06746528688875679</c:v>
                </c:pt>
                <c:pt idx="161">
                  <c:v>-0.06636908645158196</c:v>
                </c:pt>
                <c:pt idx="162">
                  <c:v>-0.06821892468931445</c:v>
                </c:pt>
                <c:pt idx="163">
                  <c:v>-0.068102458229667</c:v>
                </c:pt>
                <c:pt idx="164">
                  <c:v>-0.047152817302646456</c:v>
                </c:pt>
                <c:pt idx="165">
                  <c:v>-0.04185866933417008</c:v>
                </c:pt>
                <c:pt idx="166">
                  <c:v>-0.042954289726813984</c:v>
                </c:pt>
                <c:pt idx="167">
                  <c:v>-0.04224840333101718</c:v>
                </c:pt>
                <c:pt idx="168">
                  <c:v>-0.02262158503908322</c:v>
                </c:pt>
                <c:pt idx="169">
                  <c:v>-0.027120135509721133</c:v>
                </c:pt>
                <c:pt idx="170">
                  <c:v>-0.025496596799388205</c:v>
                </c:pt>
                <c:pt idx="171">
                  <c:v>-0.031180780884089602</c:v>
                </c:pt>
                <c:pt idx="172">
                  <c:v>-0.015958340758729987</c:v>
                </c:pt>
                <c:pt idx="173">
                  <c:v>-0.015360350510303704</c:v>
                </c:pt>
                <c:pt idx="174">
                  <c:v>-0.019879087899934814</c:v>
                </c:pt>
                <c:pt idx="175">
                  <c:v>-0.013608398609761454</c:v>
                </c:pt>
                <c:pt idx="176">
                  <c:v>0.006628610738096451</c:v>
                </c:pt>
                <c:pt idx="177">
                  <c:v>0.027811655148347283</c:v>
                </c:pt>
                <c:pt idx="178">
                  <c:v>0.036871025758575794</c:v>
                </c:pt>
                <c:pt idx="179">
                  <c:v>0.033148147178245144</c:v>
                </c:pt>
                <c:pt idx="180">
                  <c:v>0.029966804300032405</c:v>
                </c:pt>
                <c:pt idx="181">
                  <c:v>0.034187530950102483</c:v>
                </c:pt>
                <c:pt idx="182">
                  <c:v>0.019715872405617667</c:v>
                </c:pt>
                <c:pt idx="183">
                  <c:v>-0.0002976712469723681</c:v>
                </c:pt>
                <c:pt idx="184">
                  <c:v>0.009633665614814439</c:v>
                </c:pt>
                <c:pt idx="185">
                  <c:v>0.009417028792999164</c:v>
                </c:pt>
                <c:pt idx="186">
                  <c:v>0.008272995734093602</c:v>
                </c:pt>
                <c:pt idx="187">
                  <c:v>-0.014836472055796537</c:v>
                </c:pt>
                <c:pt idx="188">
                  <c:v>-0.002709721631398774</c:v>
                </c:pt>
                <c:pt idx="189">
                  <c:v>0.0063662739692512335</c:v>
                </c:pt>
                <c:pt idx="190">
                  <c:v>0.032885880077258976</c:v>
                </c:pt>
                <c:pt idx="191">
                  <c:v>0.018699870146831447</c:v>
                </c:pt>
                <c:pt idx="192">
                  <c:v>0.049826035193695724</c:v>
                </c:pt>
                <c:pt idx="193">
                  <c:v>0.05145214471640626</c:v>
                </c:pt>
                <c:pt idx="194">
                  <c:v>0.07921479155499193</c:v>
                </c:pt>
                <c:pt idx="195">
                  <c:v>0.12738630937150267</c:v>
                </c:pt>
                <c:pt idx="196">
                  <c:v>0.19158892143282463</c:v>
                </c:pt>
                <c:pt idx="197">
                  <c:v>0.1927714245100576</c:v>
                </c:pt>
                <c:pt idx="198">
                  <c:v>0.20428411366471055</c:v>
                </c:pt>
                <c:pt idx="199">
                  <c:v>0.24360798640450612</c:v>
                </c:pt>
                <c:pt idx="200">
                  <c:v>0.2574126519819653</c:v>
                </c:pt>
                <c:pt idx="201">
                  <c:v>0.27535464371228363</c:v>
                </c:pt>
                <c:pt idx="202">
                  <c:v>0.2728094409107096</c:v>
                </c:pt>
                <c:pt idx="203">
                  <c:v>0.2811885281809324</c:v>
                </c:pt>
                <c:pt idx="204">
                  <c:v>0.28333337280009896</c:v>
                </c:pt>
                <c:pt idx="205">
                  <c:v>0.2859007736564593</c:v>
                </c:pt>
                <c:pt idx="206">
                  <c:v>0.29243889589399935</c:v>
                </c:pt>
                <c:pt idx="207">
                  <c:v>0.3329510589929286</c:v>
                </c:pt>
                <c:pt idx="208">
                  <c:v>0.3327603868164444</c:v>
                </c:pt>
                <c:pt idx="209">
                  <c:v>0.3311624967758537</c:v>
                </c:pt>
                <c:pt idx="210">
                  <c:v>0.3451849824342849</c:v>
                </c:pt>
                <c:pt idx="211">
                  <c:v>0.34806488736101576</c:v>
                </c:pt>
                <c:pt idx="212">
                  <c:v>0.3863099659084346</c:v>
                </c:pt>
                <c:pt idx="213">
                  <c:v>0.4456143371248901</c:v>
                </c:pt>
                <c:pt idx="214">
                  <c:v>0.48869442733538676</c:v>
                </c:pt>
                <c:pt idx="215">
                  <c:v>0.46657985440504074</c:v>
                </c:pt>
                <c:pt idx="216">
                  <c:v>0.4837566268041345</c:v>
                </c:pt>
                <c:pt idx="217">
                  <c:v>0.4893133218105085</c:v>
                </c:pt>
                <c:pt idx="218">
                  <c:v>0.5129282370173495</c:v>
                </c:pt>
                <c:pt idx="219">
                  <c:v>0.5326766857637811</c:v>
                </c:pt>
                <c:pt idx="220">
                  <c:v>0.523059857320508</c:v>
                </c:pt>
                <c:pt idx="221">
                  <c:v>0.44391904022028084</c:v>
                </c:pt>
                <c:pt idx="222">
                  <c:v>0.4411317909334576</c:v>
                </c:pt>
                <c:pt idx="223">
                  <c:v>0.4653449191449089</c:v>
                </c:pt>
                <c:pt idx="224">
                  <c:v>0.49282403169614314</c:v>
                </c:pt>
                <c:pt idx="225">
                  <c:v>0.5170941112605588</c:v>
                </c:pt>
                <c:pt idx="226">
                  <c:v>0.579384113093675</c:v>
                </c:pt>
                <c:pt idx="227">
                  <c:v>0.5797991952915855</c:v>
                </c:pt>
                <c:pt idx="228">
                  <c:v>0.6040419569129494</c:v>
                </c:pt>
                <c:pt idx="229">
                  <c:v>0.622416123846392</c:v>
                </c:pt>
                <c:pt idx="230">
                  <c:v>0.6284694058992552</c:v>
                </c:pt>
                <c:pt idx="231">
                  <c:v>0.6030952754851565</c:v>
                </c:pt>
                <c:pt idx="232">
                  <c:v>0.6036953978678773</c:v>
                </c:pt>
                <c:pt idx="233">
                  <c:v>0.5932265059838249</c:v>
                </c:pt>
                <c:pt idx="234">
                  <c:v>0.5595010774035891</c:v>
                </c:pt>
                <c:pt idx="235">
                  <c:v>0.5576787281940291</c:v>
                </c:pt>
                <c:pt idx="236">
                  <c:v>0.6050475661767727</c:v>
                </c:pt>
                <c:pt idx="237">
                  <c:v>0.6465557859678317</c:v>
                </c:pt>
                <c:pt idx="238">
                  <c:v>0.6571150066561859</c:v>
                </c:pt>
                <c:pt idx="239">
                  <c:v>0.6720755687251774</c:v>
                </c:pt>
                <c:pt idx="240">
                  <c:v>0.6686273425464014</c:v>
                </c:pt>
                <c:pt idx="241">
                  <c:v>0.6906825829355738</c:v>
                </c:pt>
                <c:pt idx="242">
                  <c:v>0.7020615854303724</c:v>
                </c:pt>
                <c:pt idx="243">
                  <c:v>0.6956624015459176</c:v>
                </c:pt>
                <c:pt idx="244">
                  <c:v>0.6807401965310318</c:v>
                </c:pt>
                <c:pt idx="245">
                  <c:v>0.6869306829667083</c:v>
                </c:pt>
                <c:pt idx="246">
                  <c:v>0.7118045528568672</c:v>
                </c:pt>
                <c:pt idx="247">
                  <c:v>0.7436519420326558</c:v>
                </c:pt>
                <c:pt idx="248">
                  <c:v>0.7663085811823087</c:v>
                </c:pt>
                <c:pt idx="249">
                  <c:v>0.7785214063306993</c:v>
                </c:pt>
                <c:pt idx="250">
                  <c:v>0.8418348676916578</c:v>
                </c:pt>
                <c:pt idx="251">
                  <c:v>0.8399697044828922</c:v>
                </c:pt>
                <c:pt idx="252">
                  <c:v>0.8524277048495159</c:v>
                </c:pt>
                <c:pt idx="253">
                  <c:v>0.8490032767167535</c:v>
                </c:pt>
                <c:pt idx="254">
                  <c:v>0.8461876358075932</c:v>
                </c:pt>
                <c:pt idx="255">
                  <c:v>0.8532992391043955</c:v>
                </c:pt>
                <c:pt idx="256">
                  <c:v>0.8460964560847853</c:v>
                </c:pt>
                <c:pt idx="257">
                  <c:v>0.8546831923325957</c:v>
                </c:pt>
                <c:pt idx="258">
                  <c:v>0.8883137371905165</c:v>
                </c:pt>
                <c:pt idx="259">
                  <c:v>0.8610690778263734</c:v>
                </c:pt>
                <c:pt idx="260">
                  <c:v>0.8849165238761361</c:v>
                </c:pt>
                <c:pt idx="261">
                  <c:v>0.8422372934152641</c:v>
                </c:pt>
                <c:pt idx="262">
                  <c:v>0.8032456922989567</c:v>
                </c:pt>
                <c:pt idx="263">
                  <c:v>0.7363443840181859</c:v>
                </c:pt>
                <c:pt idx="264">
                  <c:v>0.7606920221069734</c:v>
                </c:pt>
                <c:pt idx="265">
                  <c:v>0.6809903621517566</c:v>
                </c:pt>
                <c:pt idx="266">
                  <c:v>0.6476822578282697</c:v>
                </c:pt>
                <c:pt idx="267">
                  <c:v>0.6100339314224219</c:v>
                </c:pt>
                <c:pt idx="268">
                  <c:v>0.6349282052233901</c:v>
                </c:pt>
                <c:pt idx="269">
                  <c:v>0.6713116669080929</c:v>
                </c:pt>
                <c:pt idx="270">
                  <c:v>0.7432034154961761</c:v>
                </c:pt>
                <c:pt idx="271">
                  <c:v>0.7843921230577781</c:v>
                </c:pt>
                <c:pt idx="272">
                  <c:v>0.8131378324306672</c:v>
                </c:pt>
                <c:pt idx="273">
                  <c:v>0.8485114267420393</c:v>
                </c:pt>
                <c:pt idx="274">
                  <c:v>0.8376174693153144</c:v>
                </c:pt>
                <c:pt idx="275">
                  <c:v>0.8331408278525881</c:v>
                </c:pt>
                <c:pt idx="276">
                  <c:v>0.8171748869004163</c:v>
                </c:pt>
                <c:pt idx="277">
                  <c:v>0.8139148220880098</c:v>
                </c:pt>
                <c:pt idx="278">
                  <c:v>0.8619120360302109</c:v>
                </c:pt>
                <c:pt idx="279">
                  <c:v>0.8385161308984188</c:v>
                </c:pt>
                <c:pt idx="280">
                  <c:v>0.833350274569648</c:v>
                </c:pt>
                <c:pt idx="281">
                  <c:v>0.8337977514663392</c:v>
                </c:pt>
                <c:pt idx="282">
                  <c:v>0.8427213798244145</c:v>
                </c:pt>
                <c:pt idx="283">
                  <c:v>0.8378798620915409</c:v>
                </c:pt>
                <c:pt idx="284">
                  <c:v>0.8388099096806183</c:v>
                </c:pt>
                <c:pt idx="285">
                  <c:v>0.8327211981307923</c:v>
                </c:pt>
                <c:pt idx="286">
                  <c:v>0.8011400156536245</c:v>
                </c:pt>
                <c:pt idx="287">
                  <c:v>0.7896174080598558</c:v>
                </c:pt>
                <c:pt idx="288">
                  <c:v>0.794307080023019</c:v>
                </c:pt>
                <c:pt idx="289">
                  <c:v>0.7729091961268415</c:v>
                </c:pt>
                <c:pt idx="290">
                  <c:v>0.7671171792242654</c:v>
                </c:pt>
                <c:pt idx="291">
                  <c:v>0.7806648724384909</c:v>
                </c:pt>
                <c:pt idx="292">
                  <c:v>0.7908980016016699</c:v>
                </c:pt>
                <c:pt idx="293">
                  <c:v>0.7965768721805754</c:v>
                </c:pt>
                <c:pt idx="294">
                  <c:v>0.9074215559292917</c:v>
                </c:pt>
                <c:pt idx="295">
                  <c:v>0.8930324796628143</c:v>
                </c:pt>
                <c:pt idx="296">
                  <c:v>0.8872243618787972</c:v>
                </c:pt>
                <c:pt idx="297">
                  <c:v>0.8879469226858566</c:v>
                </c:pt>
                <c:pt idx="298">
                  <c:v>0.8799972990268399</c:v>
                </c:pt>
                <c:pt idx="299">
                  <c:v>0.8595389268672723</c:v>
                </c:pt>
                <c:pt idx="300">
                  <c:v>0.8496843543011201</c:v>
                </c:pt>
                <c:pt idx="301">
                  <c:v>0.8733970315565891</c:v>
                </c:pt>
                <c:pt idx="302">
                  <c:v>0.8420372262403426</c:v>
                </c:pt>
              </c:numCache>
            </c:numRef>
          </c:val>
          <c:smooth val="0"/>
        </c:ser>
        <c:ser>
          <c:idx val="1"/>
          <c:order val="1"/>
          <c:tx>
            <c:v>RETURN OF SET INDEX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'Perf.'!$A$4:$A$500</c:f>
              <c:strCache>
                <c:ptCount val="4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  <c:pt idx="110">
                  <c:v>3/4</c:v>
                </c:pt>
                <c:pt idx="111">
                  <c:v>4/4</c:v>
                </c:pt>
                <c:pt idx="112">
                  <c:v>8/4</c:v>
                </c:pt>
                <c:pt idx="113">
                  <c:v>9/4</c:v>
                </c:pt>
                <c:pt idx="114">
                  <c:v>10/4</c:v>
                </c:pt>
                <c:pt idx="115">
                  <c:v>11/4</c:v>
                </c:pt>
                <c:pt idx="116">
                  <c:v>16/4</c:v>
                </c:pt>
                <c:pt idx="117">
                  <c:v>17/4</c:v>
                </c:pt>
                <c:pt idx="118">
                  <c:v>18/4</c:v>
                </c:pt>
                <c:pt idx="119">
                  <c:v>21/4</c:v>
                </c:pt>
                <c:pt idx="120">
                  <c:v>22/4</c:v>
                </c:pt>
                <c:pt idx="121">
                  <c:v>23/4</c:v>
                </c:pt>
                <c:pt idx="122">
                  <c:v>24/4</c:v>
                </c:pt>
                <c:pt idx="123">
                  <c:v>25/4</c:v>
                </c:pt>
                <c:pt idx="124">
                  <c:v>28/4</c:v>
                </c:pt>
                <c:pt idx="125">
                  <c:v>29/4</c:v>
                </c:pt>
                <c:pt idx="126">
                  <c:v>30/4</c:v>
                </c:pt>
                <c:pt idx="127">
                  <c:v>2/5</c:v>
                </c:pt>
                <c:pt idx="128">
                  <c:v>6/5</c:v>
                </c:pt>
                <c:pt idx="129">
                  <c:v>7/5</c:v>
                </c:pt>
                <c:pt idx="130">
                  <c:v>8/5</c:v>
                </c:pt>
                <c:pt idx="131">
                  <c:v>9/5</c:v>
                </c:pt>
                <c:pt idx="132">
                  <c:v>12/5</c:v>
                </c:pt>
                <c:pt idx="133">
                  <c:v>13/5</c:v>
                </c:pt>
                <c:pt idx="134">
                  <c:v>14/5</c:v>
                </c:pt>
                <c:pt idx="135">
                  <c:v>16/5</c:v>
                </c:pt>
                <c:pt idx="136">
                  <c:v>19/5</c:v>
                </c:pt>
                <c:pt idx="137">
                  <c:v>20/5</c:v>
                </c:pt>
                <c:pt idx="138">
                  <c:v>21/5</c:v>
                </c:pt>
                <c:pt idx="139">
                  <c:v>22/5</c:v>
                </c:pt>
                <c:pt idx="140">
                  <c:v>23/5</c:v>
                </c:pt>
                <c:pt idx="141">
                  <c:v>26/5</c:v>
                </c:pt>
                <c:pt idx="142">
                  <c:v>27/5</c:v>
                </c:pt>
                <c:pt idx="143">
                  <c:v>28/5</c:v>
                </c:pt>
                <c:pt idx="144">
                  <c:v>29/5</c:v>
                </c:pt>
                <c:pt idx="145">
                  <c:v>30/5</c:v>
                </c:pt>
                <c:pt idx="146">
                  <c:v>2/6</c:v>
                </c:pt>
                <c:pt idx="147">
                  <c:v>3/6</c:v>
                </c:pt>
                <c:pt idx="148">
                  <c:v>4/6</c:v>
                </c:pt>
                <c:pt idx="149">
                  <c:v>5/6</c:v>
                </c:pt>
                <c:pt idx="150">
                  <c:v>6/6</c:v>
                </c:pt>
                <c:pt idx="151">
                  <c:v>9/6</c:v>
                </c:pt>
                <c:pt idx="152">
                  <c:v>10/6</c:v>
                </c:pt>
                <c:pt idx="153">
                  <c:v>11/6</c:v>
                </c:pt>
                <c:pt idx="154">
                  <c:v>12/6</c:v>
                </c:pt>
                <c:pt idx="155">
                  <c:v>13/6</c:v>
                </c:pt>
                <c:pt idx="156">
                  <c:v>16/6</c:v>
                </c:pt>
                <c:pt idx="157">
                  <c:v>17/6</c:v>
                </c:pt>
                <c:pt idx="158">
                  <c:v>18/6</c:v>
                </c:pt>
                <c:pt idx="159">
                  <c:v>19/6</c:v>
                </c:pt>
                <c:pt idx="160">
                  <c:v>20/6</c:v>
                </c:pt>
                <c:pt idx="161">
                  <c:v>23/6</c:v>
                </c:pt>
                <c:pt idx="162">
                  <c:v>24/6</c:v>
                </c:pt>
                <c:pt idx="163">
                  <c:v>25/6</c:v>
                </c:pt>
                <c:pt idx="164">
                  <c:v>26/6</c:v>
                </c:pt>
                <c:pt idx="165">
                  <c:v>27/6</c:v>
                </c:pt>
                <c:pt idx="166">
                  <c:v>30/6</c:v>
                </c:pt>
                <c:pt idx="167">
                  <c:v>2/7</c:v>
                </c:pt>
                <c:pt idx="168">
                  <c:v>3/7</c:v>
                </c:pt>
                <c:pt idx="169">
                  <c:v>4/7</c:v>
                </c:pt>
                <c:pt idx="170">
                  <c:v>7/7</c:v>
                </c:pt>
                <c:pt idx="171">
                  <c:v>8/7</c:v>
                </c:pt>
                <c:pt idx="172">
                  <c:v>9/7</c:v>
                </c:pt>
                <c:pt idx="173">
                  <c:v>10/7</c:v>
                </c:pt>
                <c:pt idx="174">
                  <c:v>11/7</c:v>
                </c:pt>
                <c:pt idx="175">
                  <c:v>15/7</c:v>
                </c:pt>
                <c:pt idx="176">
                  <c:v>16/7</c:v>
                </c:pt>
                <c:pt idx="177">
                  <c:v>17/7</c:v>
                </c:pt>
                <c:pt idx="178">
                  <c:v>18/7</c:v>
                </c:pt>
                <c:pt idx="179">
                  <c:v>21/7</c:v>
                </c:pt>
                <c:pt idx="180">
                  <c:v>22/7</c:v>
                </c:pt>
                <c:pt idx="181">
                  <c:v>23/7</c:v>
                </c:pt>
                <c:pt idx="182">
                  <c:v>24/7</c:v>
                </c:pt>
                <c:pt idx="183">
                  <c:v>25/7</c:v>
                </c:pt>
                <c:pt idx="184">
                  <c:v>28/7</c:v>
                </c:pt>
                <c:pt idx="185">
                  <c:v>29/7</c:v>
                </c:pt>
                <c:pt idx="186">
                  <c:v>30/7</c:v>
                </c:pt>
                <c:pt idx="187">
                  <c:v>31/7</c:v>
                </c:pt>
                <c:pt idx="188">
                  <c:v>1/8</c:v>
                </c:pt>
                <c:pt idx="189">
                  <c:v>4/8</c:v>
                </c:pt>
                <c:pt idx="190">
                  <c:v>5/8</c:v>
                </c:pt>
                <c:pt idx="191">
                  <c:v>6/8</c:v>
                </c:pt>
                <c:pt idx="192">
                  <c:v>7/8</c:v>
                </c:pt>
                <c:pt idx="193">
                  <c:v>8/8</c:v>
                </c:pt>
                <c:pt idx="194">
                  <c:v>11/8</c:v>
                </c:pt>
                <c:pt idx="195">
                  <c:v>13/8</c:v>
                </c:pt>
                <c:pt idx="196">
                  <c:v>14/8</c:v>
                </c:pt>
                <c:pt idx="197">
                  <c:v>15/8</c:v>
                </c:pt>
                <c:pt idx="198">
                  <c:v>18/8</c:v>
                </c:pt>
                <c:pt idx="199">
                  <c:v>19/8</c:v>
                </c:pt>
                <c:pt idx="200">
                  <c:v>20/8</c:v>
                </c:pt>
                <c:pt idx="201">
                  <c:v>21/8</c:v>
                </c:pt>
                <c:pt idx="202">
                  <c:v>22/8</c:v>
                </c:pt>
                <c:pt idx="203">
                  <c:v>25/8</c:v>
                </c:pt>
                <c:pt idx="204">
                  <c:v>26/8</c:v>
                </c:pt>
                <c:pt idx="205">
                  <c:v>27/8</c:v>
                </c:pt>
                <c:pt idx="206">
                  <c:v>28/8</c:v>
                </c:pt>
                <c:pt idx="207">
                  <c:v>29/8</c:v>
                </c:pt>
                <c:pt idx="208">
                  <c:v>1/9</c:v>
                </c:pt>
                <c:pt idx="209">
                  <c:v>2/9</c:v>
                </c:pt>
                <c:pt idx="210">
                  <c:v>3/9</c:v>
                </c:pt>
                <c:pt idx="211">
                  <c:v>4/9</c:v>
                </c:pt>
                <c:pt idx="212">
                  <c:v>5/9</c:v>
                </c:pt>
                <c:pt idx="213">
                  <c:v>8/9</c:v>
                </c:pt>
                <c:pt idx="214">
                  <c:v>9/9</c:v>
                </c:pt>
                <c:pt idx="215">
                  <c:v>10/9</c:v>
                </c:pt>
                <c:pt idx="216">
                  <c:v>11/9</c:v>
                </c:pt>
                <c:pt idx="217">
                  <c:v>12/9</c:v>
                </c:pt>
                <c:pt idx="218">
                  <c:v>15/9</c:v>
                </c:pt>
                <c:pt idx="219">
                  <c:v>16/9</c:v>
                </c:pt>
                <c:pt idx="220">
                  <c:v>17/9</c:v>
                </c:pt>
                <c:pt idx="221">
                  <c:v>18/9</c:v>
                </c:pt>
                <c:pt idx="222">
                  <c:v>19/9</c:v>
                </c:pt>
                <c:pt idx="223">
                  <c:v>22/9</c:v>
                </c:pt>
                <c:pt idx="224">
                  <c:v>23/9</c:v>
                </c:pt>
                <c:pt idx="225">
                  <c:v>24/9</c:v>
                </c:pt>
                <c:pt idx="226">
                  <c:v>25/9</c:v>
                </c:pt>
                <c:pt idx="227">
                  <c:v>26/9</c:v>
                </c:pt>
                <c:pt idx="228">
                  <c:v>29/9</c:v>
                </c:pt>
                <c:pt idx="229">
                  <c:v>30/9</c:v>
                </c:pt>
                <c:pt idx="230">
                  <c:v>1/10</c:v>
                </c:pt>
                <c:pt idx="231">
                  <c:v>2/10</c:v>
                </c:pt>
                <c:pt idx="232">
                  <c:v>3/10</c:v>
                </c:pt>
                <c:pt idx="233">
                  <c:v>6/10</c:v>
                </c:pt>
                <c:pt idx="234">
                  <c:v>7/10</c:v>
                </c:pt>
                <c:pt idx="235">
                  <c:v>8/10</c:v>
                </c:pt>
                <c:pt idx="236">
                  <c:v>9/10</c:v>
                </c:pt>
                <c:pt idx="237">
                  <c:v>10/10</c:v>
                </c:pt>
                <c:pt idx="238">
                  <c:v>13/10</c:v>
                </c:pt>
                <c:pt idx="239">
                  <c:v>14/10</c:v>
                </c:pt>
                <c:pt idx="240">
                  <c:v>15/10</c:v>
                </c:pt>
                <c:pt idx="241">
                  <c:v>16/10</c:v>
                </c:pt>
                <c:pt idx="242">
                  <c:v>17/10</c:v>
                </c:pt>
                <c:pt idx="243">
                  <c:v>20/10</c:v>
                </c:pt>
                <c:pt idx="244">
                  <c:v>21/10</c:v>
                </c:pt>
                <c:pt idx="245">
                  <c:v>22/10</c:v>
                </c:pt>
                <c:pt idx="246">
                  <c:v>24/10</c:v>
                </c:pt>
                <c:pt idx="247">
                  <c:v>27/10</c:v>
                </c:pt>
                <c:pt idx="248">
                  <c:v>28/10</c:v>
                </c:pt>
                <c:pt idx="249">
                  <c:v>29/10</c:v>
                </c:pt>
                <c:pt idx="250">
                  <c:v>30/10</c:v>
                </c:pt>
                <c:pt idx="251">
                  <c:v>31/10</c:v>
                </c:pt>
                <c:pt idx="252">
                  <c:v>3/11</c:v>
                </c:pt>
                <c:pt idx="253">
                  <c:v>4/11</c:v>
                </c:pt>
                <c:pt idx="254">
                  <c:v>5/11</c:v>
                </c:pt>
                <c:pt idx="255">
                  <c:v>6/11</c:v>
                </c:pt>
                <c:pt idx="256">
                  <c:v>7/11</c:v>
                </c:pt>
                <c:pt idx="257">
                  <c:v>10/11</c:v>
                </c:pt>
                <c:pt idx="258">
                  <c:v>11/11</c:v>
                </c:pt>
                <c:pt idx="259">
                  <c:v>12/11</c:v>
                </c:pt>
                <c:pt idx="260">
                  <c:v>13/11</c:v>
                </c:pt>
                <c:pt idx="261">
                  <c:v>14/11</c:v>
                </c:pt>
                <c:pt idx="262">
                  <c:v>17/11</c:v>
                </c:pt>
                <c:pt idx="263">
                  <c:v>18/11</c:v>
                </c:pt>
                <c:pt idx="264">
                  <c:v>19/11</c:v>
                </c:pt>
                <c:pt idx="265">
                  <c:v>20/11</c:v>
                </c:pt>
                <c:pt idx="266">
                  <c:v>21/11</c:v>
                </c:pt>
                <c:pt idx="267">
                  <c:v>24/11</c:v>
                </c:pt>
                <c:pt idx="268">
                  <c:v>25/11</c:v>
                </c:pt>
                <c:pt idx="269">
                  <c:v>26/11</c:v>
                </c:pt>
                <c:pt idx="270">
                  <c:v>27/11</c:v>
                </c:pt>
                <c:pt idx="271">
                  <c:v>28/11</c:v>
                </c:pt>
                <c:pt idx="272">
                  <c:v>1/12</c:v>
                </c:pt>
                <c:pt idx="273">
                  <c:v>2/12</c:v>
                </c:pt>
                <c:pt idx="274">
                  <c:v>3/12</c:v>
                </c:pt>
                <c:pt idx="275">
                  <c:v>4/12</c:v>
                </c:pt>
                <c:pt idx="276">
                  <c:v>8/12</c:v>
                </c:pt>
                <c:pt idx="277">
                  <c:v>9/12</c:v>
                </c:pt>
                <c:pt idx="278">
                  <c:v>11/12</c:v>
                </c:pt>
                <c:pt idx="279">
                  <c:v>12/12</c:v>
                </c:pt>
                <c:pt idx="280">
                  <c:v>15/12</c:v>
                </c:pt>
                <c:pt idx="281">
                  <c:v>16/12</c:v>
                </c:pt>
                <c:pt idx="282">
                  <c:v>17/12</c:v>
                </c:pt>
                <c:pt idx="283">
                  <c:v>18/12</c:v>
                </c:pt>
                <c:pt idx="284">
                  <c:v>19/12</c:v>
                </c:pt>
                <c:pt idx="285">
                  <c:v>22/12</c:v>
                </c:pt>
                <c:pt idx="286">
                  <c:v>23/12</c:v>
                </c:pt>
                <c:pt idx="287">
                  <c:v>24/12</c:v>
                </c:pt>
                <c:pt idx="288">
                  <c:v>25/12</c:v>
                </c:pt>
                <c:pt idx="289">
                  <c:v>26/12</c:v>
                </c:pt>
                <c:pt idx="290">
                  <c:v>29/12</c:v>
                </c:pt>
                <c:pt idx="291">
                  <c:v>30/12</c:v>
                </c:pt>
                <c:pt idx="292">
                  <c:v>31/12</c:v>
                </c:pt>
                <c:pt idx="293">
                  <c:v>5/1</c:v>
                </c:pt>
                <c:pt idx="294">
                  <c:v>6/1</c:v>
                </c:pt>
                <c:pt idx="295">
                  <c:v>7/1</c:v>
                </c:pt>
                <c:pt idx="296">
                  <c:v>8/1</c:v>
                </c:pt>
                <c:pt idx="297">
                  <c:v>9/1</c:v>
                </c:pt>
                <c:pt idx="298">
                  <c:v>12/1</c:v>
                </c:pt>
                <c:pt idx="299">
                  <c:v>13/1</c:v>
                </c:pt>
                <c:pt idx="300">
                  <c:v>14/1</c:v>
                </c:pt>
                <c:pt idx="301">
                  <c:v>15/1</c:v>
                </c:pt>
              </c:strCache>
            </c:strRef>
          </c:cat>
          <c:val>
            <c:numRef>
              <c:f>'Perf.'!$I$3:$I$500</c:f>
              <c:numCache>
                <c:ptCount val="498"/>
                <c:pt idx="0">
                  <c:v>0</c:v>
                </c:pt>
                <c:pt idx="1">
                  <c:v>0.005605902172650189</c:v>
                </c:pt>
                <c:pt idx="2">
                  <c:v>0.006709654932032074</c:v>
                </c:pt>
                <c:pt idx="3">
                  <c:v>0.012141280353200903</c:v>
                </c:pt>
                <c:pt idx="4">
                  <c:v>0.038166608574416304</c:v>
                </c:pt>
                <c:pt idx="5">
                  <c:v>0.028087603113744676</c:v>
                </c:pt>
                <c:pt idx="6">
                  <c:v>0.031137446264668377</c:v>
                </c:pt>
                <c:pt idx="7">
                  <c:v>0.03758568606947849</c:v>
                </c:pt>
                <c:pt idx="8">
                  <c:v>0.038921807830835466</c:v>
                </c:pt>
                <c:pt idx="9">
                  <c:v>0.0421749738584874</c:v>
                </c:pt>
                <c:pt idx="10">
                  <c:v>0.03337399790867901</c:v>
                </c:pt>
                <c:pt idx="11">
                  <c:v>0.02765191123504136</c:v>
                </c:pt>
                <c:pt idx="12">
                  <c:v>0.03828279307540376</c:v>
                </c:pt>
                <c:pt idx="13">
                  <c:v>0.031137446264668377</c:v>
                </c:pt>
                <c:pt idx="14">
                  <c:v>0.017660044150110497</c:v>
                </c:pt>
                <c:pt idx="15">
                  <c:v>0.002294643894504533</c:v>
                </c:pt>
                <c:pt idx="16">
                  <c:v>-0.0017718136400602907</c:v>
                </c:pt>
                <c:pt idx="17">
                  <c:v>0.013564540490298642</c:v>
                </c:pt>
                <c:pt idx="18">
                  <c:v>0.034739165795283015</c:v>
                </c:pt>
                <c:pt idx="19">
                  <c:v>0.03723713256651578</c:v>
                </c:pt>
                <c:pt idx="20">
                  <c:v>0.027129080980597284</c:v>
                </c:pt>
                <c:pt idx="21">
                  <c:v>0.022946438945044834</c:v>
                </c:pt>
                <c:pt idx="22">
                  <c:v>0.04112931334959924</c:v>
                </c:pt>
                <c:pt idx="23">
                  <c:v>0.053183455327059384</c:v>
                </c:pt>
                <c:pt idx="24">
                  <c:v>0.05881840362495643</c:v>
                </c:pt>
                <c:pt idx="25">
                  <c:v>0.04917509004298829</c:v>
                </c:pt>
                <c:pt idx="26">
                  <c:v>0.049581735796444905</c:v>
                </c:pt>
                <c:pt idx="27">
                  <c:v>0.05812129661903116</c:v>
                </c:pt>
                <c:pt idx="28">
                  <c:v>0.059893110259091456</c:v>
                </c:pt>
                <c:pt idx="29">
                  <c:v>0.06503427442779146</c:v>
                </c:pt>
                <c:pt idx="30">
                  <c:v>0.05783083536656218</c:v>
                </c:pt>
                <c:pt idx="31">
                  <c:v>0.06000929476007908</c:v>
                </c:pt>
                <c:pt idx="32">
                  <c:v>0.0604449866387824</c:v>
                </c:pt>
                <c:pt idx="33">
                  <c:v>0.06120018589520173</c:v>
                </c:pt>
                <c:pt idx="34">
                  <c:v>0.06151969327291742</c:v>
                </c:pt>
                <c:pt idx="35">
                  <c:v>0.049901243174160594</c:v>
                </c:pt>
                <c:pt idx="36">
                  <c:v>0.03462298129429539</c:v>
                </c:pt>
                <c:pt idx="37">
                  <c:v>0.028029510863250943</c:v>
                </c:pt>
                <c:pt idx="38">
                  <c:v>0.024834437086092752</c:v>
                </c:pt>
                <c:pt idx="39">
                  <c:v>0.018415243406529662</c:v>
                </c:pt>
                <c:pt idx="40">
                  <c:v>0.017340536772394645</c:v>
                </c:pt>
                <c:pt idx="41">
                  <c:v>0.01664342976646921</c:v>
                </c:pt>
                <c:pt idx="42">
                  <c:v>0.01821192052980144</c:v>
                </c:pt>
                <c:pt idx="43">
                  <c:v>0.019315673289183325</c:v>
                </c:pt>
                <c:pt idx="44">
                  <c:v>0.02651911235041261</c:v>
                </c:pt>
                <c:pt idx="45">
                  <c:v>0.03218310677355653</c:v>
                </c:pt>
                <c:pt idx="46">
                  <c:v>0.03543627280120845</c:v>
                </c:pt>
                <c:pt idx="47">
                  <c:v>0.021029394678749883</c:v>
                </c:pt>
                <c:pt idx="48">
                  <c:v>0.03761473219472536</c:v>
                </c:pt>
                <c:pt idx="49">
                  <c:v>0.05771465086557455</c:v>
                </c:pt>
                <c:pt idx="50">
                  <c:v>0.06166492389915191</c:v>
                </c:pt>
                <c:pt idx="51">
                  <c:v>0.04685140002323705</c:v>
                </c:pt>
                <c:pt idx="52">
                  <c:v>0.042058789357499765</c:v>
                </c:pt>
                <c:pt idx="53">
                  <c:v>0.04673521552224943</c:v>
                </c:pt>
                <c:pt idx="54">
                  <c:v>0.057424189613105726</c:v>
                </c:pt>
                <c:pt idx="55">
                  <c:v>0.08437899384222149</c:v>
                </c:pt>
                <c:pt idx="56">
                  <c:v>0.07999302892994081</c:v>
                </c:pt>
                <c:pt idx="57">
                  <c:v>0.07610084814685734</c:v>
                </c:pt>
                <c:pt idx="58">
                  <c:v>0.0664575345648892</c:v>
                </c:pt>
                <c:pt idx="59">
                  <c:v>0.0789183222958058</c:v>
                </c:pt>
                <c:pt idx="60">
                  <c:v>0.09187289415591976</c:v>
                </c:pt>
                <c:pt idx="61">
                  <c:v>0.0839142558382713</c:v>
                </c:pt>
                <c:pt idx="62">
                  <c:v>0.09376089229696767</c:v>
                </c:pt>
                <c:pt idx="63">
                  <c:v>0.09300569304054851</c:v>
                </c:pt>
                <c:pt idx="64">
                  <c:v>0.07703032415475787</c:v>
                </c:pt>
                <c:pt idx="65">
                  <c:v>0.08853258975252708</c:v>
                </c:pt>
                <c:pt idx="66">
                  <c:v>0.07380620425235282</c:v>
                </c:pt>
                <c:pt idx="67">
                  <c:v>0.07557801789241327</c:v>
                </c:pt>
                <c:pt idx="68">
                  <c:v>0.07473568026025335</c:v>
                </c:pt>
                <c:pt idx="69">
                  <c:v>0.0816777041942605</c:v>
                </c:pt>
                <c:pt idx="70">
                  <c:v>0.08449517834320912</c:v>
                </c:pt>
                <c:pt idx="71">
                  <c:v>0.084233763215987</c:v>
                </c:pt>
                <c:pt idx="72">
                  <c:v>0.10113860810967833</c:v>
                </c:pt>
                <c:pt idx="73">
                  <c:v>0.10070291623097484</c:v>
                </c:pt>
                <c:pt idx="74">
                  <c:v>0.09062391077030338</c:v>
                </c:pt>
                <c:pt idx="75">
                  <c:v>0.10125479261066578</c:v>
                </c:pt>
                <c:pt idx="76">
                  <c:v>0.10450795863831772</c:v>
                </c:pt>
                <c:pt idx="77">
                  <c:v>0.07543278726617877</c:v>
                </c:pt>
                <c:pt idx="78">
                  <c:v>0.07095968397815734</c:v>
                </c:pt>
                <c:pt idx="79">
                  <c:v>0.07601370977111659</c:v>
                </c:pt>
                <c:pt idx="80">
                  <c:v>0.07813407691413976</c:v>
                </c:pt>
                <c:pt idx="81">
                  <c:v>0.05849889624724075</c:v>
                </c:pt>
                <c:pt idx="82">
                  <c:v>0.044295341001510405</c:v>
                </c:pt>
                <c:pt idx="83">
                  <c:v>0.05173114906471478</c:v>
                </c:pt>
                <c:pt idx="84">
                  <c:v>0.03624956430812135</c:v>
                </c:pt>
                <c:pt idx="85">
                  <c:v>0.03410015103985131</c:v>
                </c:pt>
                <c:pt idx="86">
                  <c:v>0.042436388985709346</c:v>
                </c:pt>
                <c:pt idx="87">
                  <c:v>0.04949459742070414</c:v>
                </c:pt>
                <c:pt idx="88">
                  <c:v>0.06793888695248067</c:v>
                </c:pt>
                <c:pt idx="89">
                  <c:v>0.05887649587545033</c:v>
                </c:pt>
                <c:pt idx="90">
                  <c:v>0.04537004763564542</c:v>
                </c:pt>
                <c:pt idx="91">
                  <c:v>0.042639711862437576</c:v>
                </c:pt>
                <c:pt idx="92">
                  <c:v>0.041245497850586864</c:v>
                </c:pt>
                <c:pt idx="93">
                  <c:v>0.02617055884744989</c:v>
                </c:pt>
                <c:pt idx="94">
                  <c:v>0.019460903915417816</c:v>
                </c:pt>
                <c:pt idx="95">
                  <c:v>0.023701638201464</c:v>
                </c:pt>
                <c:pt idx="96">
                  <c:v>0.026722435227140833</c:v>
                </c:pt>
                <c:pt idx="97">
                  <c:v>0.04054839084466143</c:v>
                </c:pt>
                <c:pt idx="98">
                  <c:v>0.030004647380039624</c:v>
                </c:pt>
                <c:pt idx="99">
                  <c:v>0.05393865458347871</c:v>
                </c:pt>
                <c:pt idx="100">
                  <c:v>0.0489427210410132</c:v>
                </c:pt>
                <c:pt idx="101">
                  <c:v>0.057569420239340224</c:v>
                </c:pt>
                <c:pt idx="102">
                  <c:v>0.05617520622748935</c:v>
                </c:pt>
                <c:pt idx="103">
                  <c:v>0.049378412919716515</c:v>
                </c:pt>
                <c:pt idx="104">
                  <c:v>0.05652375973045207</c:v>
                </c:pt>
                <c:pt idx="105">
                  <c:v>0.06930405483908451</c:v>
                </c:pt>
                <c:pt idx="106">
                  <c:v>0.07162774485883591</c:v>
                </c:pt>
                <c:pt idx="107">
                  <c:v>0.07334146624840247</c:v>
                </c:pt>
                <c:pt idx="108">
                  <c:v>0.05887649587545033</c:v>
                </c:pt>
                <c:pt idx="109">
                  <c:v>0.05210874869292453</c:v>
                </c:pt>
                <c:pt idx="110">
                  <c:v>0.05443243871267576</c:v>
                </c:pt>
                <c:pt idx="111">
                  <c:v>0.06053212501452316</c:v>
                </c:pt>
                <c:pt idx="112">
                  <c:v>0.08031253630765667</c:v>
                </c:pt>
                <c:pt idx="113">
                  <c:v>0.09161147902869764</c:v>
                </c:pt>
                <c:pt idx="114">
                  <c:v>0.09271523178807953</c:v>
                </c:pt>
                <c:pt idx="115">
                  <c:v>0.08928778900894624</c:v>
                </c:pt>
                <c:pt idx="116">
                  <c:v>0.11351225746485431</c:v>
                </c:pt>
                <c:pt idx="117">
                  <c:v>0.122748925293366</c:v>
                </c:pt>
                <c:pt idx="118">
                  <c:v>0.11720111537120956</c:v>
                </c:pt>
                <c:pt idx="119">
                  <c:v>0.11682351574299997</c:v>
                </c:pt>
                <c:pt idx="120">
                  <c:v>0.11972812826768918</c:v>
                </c:pt>
                <c:pt idx="121">
                  <c:v>0.10076100848146874</c:v>
                </c:pt>
                <c:pt idx="122">
                  <c:v>0.09036249564308126</c:v>
                </c:pt>
                <c:pt idx="123">
                  <c:v>0.07386429650284655</c:v>
                </c:pt>
                <c:pt idx="124">
                  <c:v>0.07043685372371326</c:v>
                </c:pt>
                <c:pt idx="125">
                  <c:v>0.07136632973161396</c:v>
                </c:pt>
                <c:pt idx="126">
                  <c:v>0.0833333333333335</c:v>
                </c:pt>
                <c:pt idx="127">
                  <c:v>0.08815499012431749</c:v>
                </c:pt>
                <c:pt idx="128">
                  <c:v>0.08992680376437795</c:v>
                </c:pt>
                <c:pt idx="129">
                  <c:v>0.10389799000813303</c:v>
                </c:pt>
                <c:pt idx="130">
                  <c:v>0.10215522249331944</c:v>
                </c:pt>
                <c:pt idx="131">
                  <c:v>0.09852445683745793</c:v>
                </c:pt>
                <c:pt idx="132">
                  <c:v>0.11630068548855589</c:v>
                </c:pt>
                <c:pt idx="133">
                  <c:v>0.1138898570930639</c:v>
                </c:pt>
                <c:pt idx="134">
                  <c:v>0.12347507842453831</c:v>
                </c:pt>
                <c:pt idx="135">
                  <c:v>0.11891483676077629</c:v>
                </c:pt>
                <c:pt idx="136">
                  <c:v>0.11246659695596616</c:v>
                </c:pt>
                <c:pt idx="137">
                  <c:v>0.10093528523294994</c:v>
                </c:pt>
                <c:pt idx="138">
                  <c:v>0.11237945858022556</c:v>
                </c:pt>
                <c:pt idx="139">
                  <c:v>0.125159753688858</c:v>
                </c:pt>
                <c:pt idx="140">
                  <c:v>0.12879051934471952</c:v>
                </c:pt>
                <c:pt idx="141">
                  <c:v>0.14883234576507498</c:v>
                </c:pt>
                <c:pt idx="142">
                  <c:v>0.15278261879865235</c:v>
                </c:pt>
                <c:pt idx="143">
                  <c:v>0.16384919251771823</c:v>
                </c:pt>
                <c:pt idx="144">
                  <c:v>0.17050075519925656</c:v>
                </c:pt>
                <c:pt idx="145">
                  <c:v>0.1717206924596259</c:v>
                </c:pt>
                <c:pt idx="146">
                  <c:v>0.17294062971999544</c:v>
                </c:pt>
                <c:pt idx="147">
                  <c:v>0.17572905774369701</c:v>
                </c:pt>
                <c:pt idx="148">
                  <c:v>0.17256303009178584</c:v>
                </c:pt>
                <c:pt idx="149">
                  <c:v>0.19867549668874185</c:v>
                </c:pt>
                <c:pt idx="150">
                  <c:v>0.20724410363657497</c:v>
                </c:pt>
                <c:pt idx="151">
                  <c:v>0.21473800395027307</c:v>
                </c:pt>
                <c:pt idx="152">
                  <c:v>0.2178459393516905</c:v>
                </c:pt>
                <c:pt idx="153">
                  <c:v>0.23170094109445813</c:v>
                </c:pt>
                <c:pt idx="154">
                  <c:v>0.22748925293365882</c:v>
                </c:pt>
                <c:pt idx="155">
                  <c:v>0.2540083652840713</c:v>
                </c:pt>
                <c:pt idx="156">
                  <c:v>0.24308702219123987</c:v>
                </c:pt>
                <c:pt idx="157">
                  <c:v>0.24825723248518658</c:v>
                </c:pt>
                <c:pt idx="158">
                  <c:v>0.2847101196700362</c:v>
                </c:pt>
                <c:pt idx="159">
                  <c:v>0.296038108516324</c:v>
                </c:pt>
                <c:pt idx="160">
                  <c:v>0.3192459625885908</c:v>
                </c:pt>
                <c:pt idx="161">
                  <c:v>0.3148019054258164</c:v>
                </c:pt>
                <c:pt idx="162">
                  <c:v>0.3326071802021612</c:v>
                </c:pt>
                <c:pt idx="163">
                  <c:v>0.30713372836063674</c:v>
                </c:pt>
                <c:pt idx="164">
                  <c:v>0.318374578831184</c:v>
                </c:pt>
                <c:pt idx="165">
                  <c:v>0.3342047170907401</c:v>
                </c:pt>
                <c:pt idx="166">
                  <c:v>0.3288892761705589</c:v>
                </c:pt>
                <c:pt idx="167">
                  <c:v>0.3414081561519694</c:v>
                </c:pt>
                <c:pt idx="168">
                  <c:v>0.38762054141977476</c:v>
                </c:pt>
                <c:pt idx="169">
                  <c:v>0.42267921459277347</c:v>
                </c:pt>
                <c:pt idx="170">
                  <c:v>0.4398745207389336</c:v>
                </c:pt>
                <c:pt idx="171">
                  <c:v>0.42131404670616945</c:v>
                </c:pt>
                <c:pt idx="172">
                  <c:v>0.4425467642616476</c:v>
                </c:pt>
                <c:pt idx="173">
                  <c:v>0.40153363541303594</c:v>
                </c:pt>
                <c:pt idx="174">
                  <c:v>0.37759962820959686</c:v>
                </c:pt>
                <c:pt idx="175">
                  <c:v>0.4069652608342048</c:v>
                </c:pt>
                <c:pt idx="176">
                  <c:v>0.4354595097014059</c:v>
                </c:pt>
                <c:pt idx="177">
                  <c:v>0.4615719762983619</c:v>
                </c:pt>
                <c:pt idx="178">
                  <c:v>0.4380155687231324</c:v>
                </c:pt>
                <c:pt idx="179">
                  <c:v>0.43209015917276655</c:v>
                </c:pt>
                <c:pt idx="180">
                  <c:v>0.4158243290345069</c:v>
                </c:pt>
                <c:pt idx="181">
                  <c:v>0.41913558731265255</c:v>
                </c:pt>
                <c:pt idx="182">
                  <c:v>0.3954920413616825</c:v>
                </c:pt>
                <c:pt idx="183">
                  <c:v>0.391018938073661</c:v>
                </c:pt>
                <c:pt idx="184">
                  <c:v>0.40833042872080877</c:v>
                </c:pt>
                <c:pt idx="185">
                  <c:v>0.3956082258626701</c:v>
                </c:pt>
                <c:pt idx="186">
                  <c:v>0.3892471244336007</c:v>
                </c:pt>
                <c:pt idx="187">
                  <c:v>0.37940048797490417</c:v>
                </c:pt>
                <c:pt idx="188">
                  <c:v>0.4061519693272919</c:v>
                </c:pt>
                <c:pt idx="189">
                  <c:v>0.42773324038573274</c:v>
                </c:pt>
                <c:pt idx="190">
                  <c:v>0.43731846171720695</c:v>
                </c:pt>
                <c:pt idx="191">
                  <c:v>0.4232310909724644</c:v>
                </c:pt>
                <c:pt idx="192">
                  <c:v>0.4225920762170327</c:v>
                </c:pt>
                <c:pt idx="193">
                  <c:v>0.4476007900546068</c:v>
                </c:pt>
                <c:pt idx="194">
                  <c:v>0.46334378993842235</c:v>
                </c:pt>
                <c:pt idx="195">
                  <c:v>0.49061810154525415</c:v>
                </c:pt>
                <c:pt idx="196">
                  <c:v>0.5253572673405368</c:v>
                </c:pt>
                <c:pt idx="197">
                  <c:v>0.5070001161845012</c:v>
                </c:pt>
                <c:pt idx="198">
                  <c:v>0.5076100848146857</c:v>
                </c:pt>
                <c:pt idx="199">
                  <c:v>0.511879865225979</c:v>
                </c:pt>
                <c:pt idx="200">
                  <c:v>0.5276519112350415</c:v>
                </c:pt>
                <c:pt idx="201">
                  <c:v>0.5135935866155457</c:v>
                </c:pt>
                <c:pt idx="202">
                  <c:v>0.5400546067154643</c:v>
                </c:pt>
                <c:pt idx="203">
                  <c:v>0.5534158243290345</c:v>
                </c:pt>
                <c:pt idx="204">
                  <c:v>0.5380794701986755</c:v>
                </c:pt>
                <c:pt idx="205">
                  <c:v>0.5425235273614499</c:v>
                </c:pt>
                <c:pt idx="206">
                  <c:v>0.5273033577320788</c:v>
                </c:pt>
                <c:pt idx="207">
                  <c:v>0.5566108981061927</c:v>
                </c:pt>
                <c:pt idx="208">
                  <c:v>0.5618392006506334</c:v>
                </c:pt>
                <c:pt idx="209">
                  <c:v>0.5836818868362962</c:v>
                </c:pt>
                <c:pt idx="210">
                  <c:v>0.574009527129081</c:v>
                </c:pt>
                <c:pt idx="211">
                  <c:v>0.5681422098292089</c:v>
                </c:pt>
                <c:pt idx="212">
                  <c:v>0.5842628093412339</c:v>
                </c:pt>
                <c:pt idx="213">
                  <c:v>0.6202219123968862</c:v>
                </c:pt>
                <c:pt idx="214">
                  <c:v>0.639392355059835</c:v>
                </c:pt>
                <c:pt idx="215">
                  <c:v>0.6194667131404671</c:v>
                </c:pt>
                <c:pt idx="216">
                  <c:v>0.6282386429650287</c:v>
                </c:pt>
                <c:pt idx="217">
                  <c:v>0.6314046706169397</c:v>
                </c:pt>
                <c:pt idx="218">
                  <c:v>0.6508946206576044</c:v>
                </c:pt>
                <c:pt idx="219">
                  <c:v>0.6455791797374231</c:v>
                </c:pt>
                <c:pt idx="220">
                  <c:v>0.6522307424189615</c:v>
                </c:pt>
                <c:pt idx="221">
                  <c:v>0.6228070175438599</c:v>
                </c:pt>
                <c:pt idx="222">
                  <c:v>0.607180202161032</c:v>
                </c:pt>
                <c:pt idx="223">
                  <c:v>0.647525270128965</c:v>
                </c:pt>
                <c:pt idx="224">
                  <c:v>0.6329441152550253</c:v>
                </c:pt>
                <c:pt idx="225">
                  <c:v>0.6443882886023006</c:v>
                </c:pt>
                <c:pt idx="226">
                  <c:v>0.6717497385848727</c:v>
                </c:pt>
                <c:pt idx="227">
                  <c:v>0.6750319507377716</c:v>
                </c:pt>
                <c:pt idx="228">
                  <c:v>0.6872022772162195</c:v>
                </c:pt>
                <c:pt idx="229">
                  <c:v>0.6873765539677007</c:v>
                </c:pt>
                <c:pt idx="230">
                  <c:v>0.6817125595445569</c:v>
                </c:pt>
                <c:pt idx="231">
                  <c:v>0.6549029859416755</c:v>
                </c:pt>
                <c:pt idx="232">
                  <c:v>0.6469733937492739</c:v>
                </c:pt>
                <c:pt idx="233">
                  <c:v>0.6217613570349717</c:v>
                </c:pt>
                <c:pt idx="234">
                  <c:v>0.5811548739398166</c:v>
                </c:pt>
                <c:pt idx="235">
                  <c:v>0.5812420123155572</c:v>
                </c:pt>
                <c:pt idx="236">
                  <c:v>0.6287324270942258</c:v>
                </c:pt>
                <c:pt idx="237">
                  <c:v>0.6661728825374696</c:v>
                </c:pt>
                <c:pt idx="238">
                  <c:v>0.6909201812478216</c:v>
                </c:pt>
                <c:pt idx="239">
                  <c:v>0.6805797606599282</c:v>
                </c:pt>
                <c:pt idx="240">
                  <c:v>0.6511850819100734</c:v>
                </c:pt>
                <c:pt idx="241">
                  <c:v>0.6733472754734521</c:v>
                </c:pt>
                <c:pt idx="242">
                  <c:v>0.6951609155338679</c:v>
                </c:pt>
                <c:pt idx="243">
                  <c:v>0.7096549320320671</c:v>
                </c:pt>
                <c:pt idx="244">
                  <c:v>0.7217962123852678</c:v>
                </c:pt>
                <c:pt idx="245">
                  <c:v>0.7224933193911933</c:v>
                </c:pt>
                <c:pt idx="246">
                  <c:v>0.7566225165562914</c:v>
                </c:pt>
                <c:pt idx="247">
                  <c:v>0.7696351806668992</c:v>
                </c:pt>
                <c:pt idx="248">
                  <c:v>0.7883118392006506</c:v>
                </c:pt>
                <c:pt idx="249">
                  <c:v>0.7874695015684908</c:v>
                </c:pt>
                <c:pt idx="250">
                  <c:v>0.8126524921575462</c:v>
                </c:pt>
                <c:pt idx="251">
                  <c:v>0.8135529220402</c:v>
                </c:pt>
                <c:pt idx="252">
                  <c:v>0.8573544789125134</c:v>
                </c:pt>
                <c:pt idx="253">
                  <c:v>0.916928081793889</c:v>
                </c:pt>
                <c:pt idx="254">
                  <c:v>0.9317416056698037</c:v>
                </c:pt>
                <c:pt idx="255">
                  <c:v>0.9568374578831187</c:v>
                </c:pt>
                <c:pt idx="256">
                  <c:v>0.9389450447310329</c:v>
                </c:pt>
                <c:pt idx="257">
                  <c:v>0.9489950040664576</c:v>
                </c:pt>
                <c:pt idx="258">
                  <c:v>0.9297083769025214</c:v>
                </c:pt>
                <c:pt idx="259">
                  <c:v>0.8808818403624956</c:v>
                </c:pt>
                <c:pt idx="260">
                  <c:v>0.8981352387591497</c:v>
                </c:pt>
                <c:pt idx="261">
                  <c:v>0.9116707331242013</c:v>
                </c:pt>
                <c:pt idx="262">
                  <c:v>0.9094341814801907</c:v>
                </c:pt>
                <c:pt idx="263">
                  <c:v>0.8613918903218313</c:v>
                </c:pt>
                <c:pt idx="264">
                  <c:v>0.8495120250958523</c:v>
                </c:pt>
                <c:pt idx="265">
                  <c:v>0.7980422911583596</c:v>
                </c:pt>
                <c:pt idx="266">
                  <c:v>0.7841001510398514</c:v>
                </c:pt>
                <c:pt idx="267">
                  <c:v>0.7817764610200999</c:v>
                </c:pt>
                <c:pt idx="268">
                  <c:v>0.7581329150691298</c:v>
                </c:pt>
                <c:pt idx="269">
                  <c:v>0.7573777158127106</c:v>
                </c:pt>
                <c:pt idx="270">
                  <c:v>0.8322876728244455</c:v>
                </c:pt>
                <c:pt idx="271">
                  <c:v>0.8451551063088185</c:v>
                </c:pt>
                <c:pt idx="272">
                  <c:v>0.8764668293249681</c:v>
                </c:pt>
                <c:pt idx="273">
                  <c:v>0.8622923202044848</c:v>
                </c:pt>
                <c:pt idx="274">
                  <c:v>0.8782386429650286</c:v>
                </c:pt>
                <c:pt idx="275">
                  <c:v>0.9153886371558034</c:v>
                </c:pt>
                <c:pt idx="276">
                  <c:v>0.9149819914023469</c:v>
                </c:pt>
                <c:pt idx="277">
                  <c:v>0.9297083769025214</c:v>
                </c:pt>
                <c:pt idx="278">
                  <c:v>0.9376089229696761</c:v>
                </c:pt>
                <c:pt idx="279">
                  <c:v>0.9577088416405253</c:v>
                </c:pt>
                <c:pt idx="280">
                  <c:v>0.9590159172766356</c:v>
                </c:pt>
                <c:pt idx="281">
                  <c:v>1.0014232601370978</c:v>
                </c:pt>
                <c:pt idx="282">
                  <c:v>1.0096433135819682</c:v>
                </c:pt>
                <c:pt idx="283">
                  <c:v>0.9980248634832115</c:v>
                </c:pt>
                <c:pt idx="284">
                  <c:v>1.0359300569304055</c:v>
                </c:pt>
                <c:pt idx="285">
                  <c:v>1.0598059718833508</c:v>
                </c:pt>
                <c:pt idx="286">
                  <c:v>1.086470314859998</c:v>
                </c:pt>
                <c:pt idx="287">
                  <c:v>1.0868769606134545</c:v>
                </c:pt>
                <c:pt idx="288">
                  <c:v>1.1011676542349251</c:v>
                </c:pt>
                <c:pt idx="289">
                  <c:v>1.096113628441966</c:v>
                </c:pt>
                <c:pt idx="290">
                  <c:v>1.134570698268851</c:v>
                </c:pt>
                <c:pt idx="291">
                  <c:v>1.1691936795631463</c:v>
                </c:pt>
                <c:pt idx="292">
                  <c:v>1.2197920297432325</c:v>
                </c:pt>
                <c:pt idx="293">
                  <c:v>1.2427965609387708</c:v>
                </c:pt>
                <c:pt idx="294">
                  <c:v>1.2973451841524342</c:v>
                </c:pt>
                <c:pt idx="295">
                  <c:v>1.2356221680027886</c:v>
                </c:pt>
                <c:pt idx="296">
                  <c:v>1.1812768676658536</c:v>
                </c:pt>
                <c:pt idx="297">
                  <c:v>1.2468630184733358</c:v>
                </c:pt>
                <c:pt idx="298">
                  <c:v>1.2755896363425123</c:v>
                </c:pt>
                <c:pt idx="299">
                  <c:v>1.306291390728477</c:v>
                </c:pt>
                <c:pt idx="300">
                  <c:v>1.3011211804345302</c:v>
                </c:pt>
                <c:pt idx="301">
                  <c:v>1.2970837690252124</c:v>
                </c:pt>
                <c:pt idx="302">
                  <c:v>1.2289706053212504</c:v>
                </c:pt>
              </c:numCache>
            </c:numRef>
          </c:val>
          <c:smooth val="0"/>
        </c:ser>
        <c:marker val="1"/>
        <c:axId val="36531211"/>
        <c:axId val="60345444"/>
      </c:lineChart>
      <c:catAx>
        <c:axId val="3653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Cordia New"/>
                    <a:ea typeface="Cordia New"/>
                    <a:cs typeface="Cordia New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345444"/>
        <c:crosses val="autoZero"/>
        <c:auto val="1"/>
        <c:lblOffset val="100"/>
        <c:noMultiLvlLbl val="0"/>
      </c:catAx>
      <c:valAx>
        <c:axId val="60345444"/>
        <c:scaling>
          <c:orientation val="minMax"/>
          <c:max val="1.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ordia New"/>
                    <a:ea typeface="Cordia New"/>
                    <a:cs typeface="Cordia New"/>
                  </a:rPr>
                  <a:t>RETURN SINCE INCEPTION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653121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575"/>
          <c:y val="0.02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3"/>
  <sheetViews>
    <sheetView tabSelected="1" workbookViewId="0" topLeftCell="A376">
      <pane xSplit="10" ySplit="2" topLeftCell="K754" activePane="bottomRight" state="frozen"/>
      <selection pane="topLeft" activeCell="A376" sqref="A376"/>
      <selection pane="topRight" activeCell="K376" sqref="K376"/>
      <selection pane="bottomLeft" activeCell="A378" sqref="A378"/>
      <selection pane="bottomRight" activeCell="J707" sqref="J707"/>
    </sheetView>
  </sheetViews>
  <sheetFormatPr defaultColWidth="9.140625" defaultRowHeight="21.75"/>
  <cols>
    <col min="1" max="1" width="5.7109375" style="3" customWidth="1"/>
    <col min="2" max="2" width="8.57421875" style="37" customWidth="1"/>
    <col min="3" max="3" width="9.28125" style="3" customWidth="1"/>
    <col min="4" max="4" width="3.57421875" style="4" customWidth="1"/>
    <col min="5" max="5" width="9.8515625" style="40" customWidth="1"/>
    <col min="6" max="7" width="8.00390625" style="5" customWidth="1"/>
    <col min="8" max="8" width="7.28125" style="5" customWidth="1"/>
    <col min="9" max="9" width="12.57421875" style="39" customWidth="1"/>
    <col min="10" max="10" width="12.28125" style="2" customWidth="1"/>
    <col min="11" max="11" width="52.7109375" style="2" customWidth="1"/>
    <col min="12" max="16384" width="14.7109375" style="2" customWidth="1"/>
  </cols>
  <sheetData>
    <row r="1" spans="1:9" s="1" customFormat="1" ht="12" thickBot="1">
      <c r="A1" s="138" t="s">
        <v>1</v>
      </c>
      <c r="B1" s="139"/>
      <c r="C1" s="139"/>
      <c r="D1" s="139"/>
      <c r="E1" s="139"/>
      <c r="F1" s="139"/>
      <c r="G1" s="139"/>
      <c r="H1" s="140"/>
      <c r="I1" s="38"/>
    </row>
    <row r="2" spans="1:9" s="1" customFormat="1" ht="12" thickBot="1">
      <c r="A2" s="31" t="s">
        <v>0</v>
      </c>
      <c r="B2" s="123" t="s">
        <v>2</v>
      </c>
      <c r="C2" s="41" t="s">
        <v>3</v>
      </c>
      <c r="D2" s="33" t="s">
        <v>4</v>
      </c>
      <c r="E2" s="127" t="s">
        <v>5</v>
      </c>
      <c r="F2" s="34" t="s">
        <v>6</v>
      </c>
      <c r="G2" s="34" t="s">
        <v>7</v>
      </c>
      <c r="H2" s="35" t="s">
        <v>8</v>
      </c>
      <c r="I2" s="38"/>
    </row>
    <row r="3" spans="1:8" ht="11.25">
      <c r="A3" s="3" t="s">
        <v>26</v>
      </c>
      <c r="B3" s="37" t="s">
        <v>27</v>
      </c>
      <c r="C3" s="3" t="s">
        <v>16</v>
      </c>
      <c r="D3" s="4">
        <v>600</v>
      </c>
      <c r="E3" s="40">
        <v>26.75</v>
      </c>
      <c r="F3" s="5">
        <f>($D3*$E3)*0.002</f>
        <v>32.1</v>
      </c>
      <c r="G3" s="5">
        <f>$F3*0.07</f>
        <v>2.2470000000000003</v>
      </c>
      <c r="H3" s="5">
        <f>IF($C3="BUY",(($D3*$E3)+$F3+$G3)*(-1),IF($C3="SELL",($D3*$E3)-$F3-$G3))</f>
        <v>-16084.347</v>
      </c>
    </row>
    <row r="4" spans="1:8" ht="12" thickBot="1">
      <c r="A4" s="6"/>
      <c r="B4" s="42"/>
      <c r="C4" s="6"/>
      <c r="D4" s="7"/>
      <c r="E4" s="43"/>
      <c r="F4" s="8"/>
      <c r="G4" s="9" t="s">
        <v>14</v>
      </c>
      <c r="H4" s="9">
        <f>H3</f>
        <v>-16084.347</v>
      </c>
    </row>
    <row r="5" spans="1:10" ht="11.25">
      <c r="A5" s="3" t="s">
        <v>17</v>
      </c>
      <c r="B5" s="37" t="s">
        <v>28</v>
      </c>
      <c r="C5" s="3" t="s">
        <v>16</v>
      </c>
      <c r="D5" s="4">
        <v>100</v>
      </c>
      <c r="E5" s="40">
        <v>29.25</v>
      </c>
      <c r="F5" s="5">
        <f>($D5*$E5)*0.002</f>
        <v>5.8500000000000005</v>
      </c>
      <c r="G5" s="5">
        <f>$F5*0.07</f>
        <v>0.4095000000000001</v>
      </c>
      <c r="H5" s="5">
        <f>IF($C5="BUY",(($D5*$E5)+$F5+$G5)*(-1),IF($C5="SELL",($D5*$E5)-$F5-$G5))</f>
        <v>-2931.2595</v>
      </c>
      <c r="J5" s="10"/>
    </row>
    <row r="6" spans="1:8" ht="12" thickBot="1">
      <c r="A6" s="6"/>
      <c r="B6" s="42"/>
      <c r="C6" s="6"/>
      <c r="D6" s="7"/>
      <c r="E6" s="43"/>
      <c r="F6" s="8"/>
      <c r="G6" s="9" t="s">
        <v>14</v>
      </c>
      <c r="H6" s="9">
        <f>H5</f>
        <v>-2931.2595</v>
      </c>
    </row>
    <row r="7" spans="1:10" ht="11.25">
      <c r="A7" s="3" t="s">
        <v>32</v>
      </c>
      <c r="B7" s="37" t="s">
        <v>13</v>
      </c>
      <c r="C7" s="3" t="s">
        <v>33</v>
      </c>
      <c r="D7" s="4">
        <v>1000</v>
      </c>
      <c r="E7" s="40">
        <v>51.5</v>
      </c>
      <c r="F7" s="5">
        <f>($D7*$E7)*0.002</f>
        <v>103</v>
      </c>
      <c r="G7" s="5">
        <f>$F7*0.07</f>
        <v>7.210000000000001</v>
      </c>
      <c r="H7" s="5">
        <f>IF($C7="BUY",(($D7*$E7)+$F7+$G7)*(-1),IF($C7="SELL",($D7*$E7)-$F7-$G7))</f>
        <v>51389.79</v>
      </c>
      <c r="J7" s="11">
        <f>-28260.348-18138.734+$H7</f>
        <v>4990.707999999999</v>
      </c>
    </row>
    <row r="8" spans="2:8" ht="11.25">
      <c r="B8" s="37" t="s">
        <v>28</v>
      </c>
      <c r="C8" s="3" t="s">
        <v>16</v>
      </c>
      <c r="D8" s="4">
        <v>900</v>
      </c>
      <c r="E8" s="40">
        <v>29.25</v>
      </c>
      <c r="F8" s="5">
        <f>($D8*$E8)*0.002</f>
        <v>52.65</v>
      </c>
      <c r="G8" s="5">
        <f>$F8*0.07</f>
        <v>3.6855</v>
      </c>
      <c r="H8" s="5">
        <f>IF($C8="BUY",(($D8*$E8)+$F8+$G8)*(-1),IF($C8="SELL",($D8*$E8)-$F8-$G8))</f>
        <v>-26381.3355</v>
      </c>
    </row>
    <row r="9" spans="1:8" ht="12" thickBot="1">
      <c r="A9" s="6"/>
      <c r="B9" s="42"/>
      <c r="C9" s="6"/>
      <c r="D9" s="7"/>
      <c r="E9" s="43"/>
      <c r="F9" s="8"/>
      <c r="G9" s="12" t="s">
        <v>34</v>
      </c>
      <c r="H9" s="12">
        <f>SUM(H7:H8)</f>
        <v>25008.4545</v>
      </c>
    </row>
    <row r="10" spans="1:8" ht="11.25">
      <c r="A10" s="3" t="s">
        <v>36</v>
      </c>
      <c r="B10" s="37" t="s">
        <v>28</v>
      </c>
      <c r="C10" s="3" t="s">
        <v>33</v>
      </c>
      <c r="D10" s="4">
        <v>100</v>
      </c>
      <c r="E10" s="40">
        <v>30</v>
      </c>
      <c r="F10" s="5">
        <f>($D10*$E10)*0.002</f>
        <v>6</v>
      </c>
      <c r="G10" s="5">
        <f>$F10*0.07</f>
        <v>0.42000000000000004</v>
      </c>
      <c r="H10" s="5">
        <f>IF($C10="BUY",(($D10*$E10)+$F10+$G10)*(-1),IF($C10="SELL",($D10*$E10)-$F10-$G10))</f>
        <v>2993.58</v>
      </c>
    </row>
    <row r="11" spans="1:8" ht="12" thickBot="1">
      <c r="A11" s="6"/>
      <c r="B11" s="42"/>
      <c r="C11" s="6"/>
      <c r="D11" s="7"/>
      <c r="E11" s="43"/>
      <c r="F11" s="8"/>
      <c r="G11" s="12" t="s">
        <v>34</v>
      </c>
      <c r="H11" s="12">
        <f>H10</f>
        <v>2993.58</v>
      </c>
    </row>
    <row r="12" spans="1:8" ht="11.25">
      <c r="A12" s="3" t="s">
        <v>38</v>
      </c>
      <c r="B12" s="37" t="s">
        <v>28</v>
      </c>
      <c r="C12" s="3" t="s">
        <v>16</v>
      </c>
      <c r="D12" s="4">
        <v>400</v>
      </c>
      <c r="E12" s="40">
        <v>29.5</v>
      </c>
      <c r="F12" s="5">
        <f>($D12*$E12)*0.002</f>
        <v>23.6</v>
      </c>
      <c r="G12" s="5">
        <f>$F12*0.07</f>
        <v>1.6520000000000004</v>
      </c>
      <c r="H12" s="5">
        <f>IF($C12="BUY",(($D12*$E12)+$F12+$G12)*(-1),IF($C12="SELL",($D12*$E12)-$F12-$G12))</f>
        <v>-11825.252</v>
      </c>
    </row>
    <row r="13" spans="1:8" ht="12" thickBot="1">
      <c r="A13" s="6"/>
      <c r="B13" s="42"/>
      <c r="C13" s="6"/>
      <c r="D13" s="7"/>
      <c r="E13" s="43"/>
      <c r="F13" s="8"/>
      <c r="G13" s="13" t="s">
        <v>14</v>
      </c>
      <c r="H13" s="13">
        <f>H12</f>
        <v>-11825.252</v>
      </c>
    </row>
    <row r="14" spans="1:8" ht="11.25">
      <c r="A14" s="3" t="s">
        <v>40</v>
      </c>
      <c r="B14" s="37" t="s">
        <v>28</v>
      </c>
      <c r="C14" s="3" t="s">
        <v>16</v>
      </c>
      <c r="D14" s="4">
        <v>500</v>
      </c>
      <c r="E14" s="40">
        <v>29.25</v>
      </c>
      <c r="F14" s="5">
        <f>($D14*$E14)*0.002</f>
        <v>29.25</v>
      </c>
      <c r="G14" s="5">
        <f>$F14*0.07</f>
        <v>2.0475000000000003</v>
      </c>
      <c r="H14" s="5">
        <f>IF($C14="BUY",(($D14*$E14)+$F14+$G14)*(-1),IF($C14="SELL",($D14*$E14)-$F14-$G14))</f>
        <v>-14656.2975</v>
      </c>
    </row>
    <row r="15" spans="1:8" ht="12" thickBot="1">
      <c r="A15" s="6"/>
      <c r="B15" s="42"/>
      <c r="C15" s="6"/>
      <c r="D15" s="7"/>
      <c r="E15" s="43"/>
      <c r="F15" s="8"/>
      <c r="G15" s="13" t="s">
        <v>14</v>
      </c>
      <c r="H15" s="13">
        <f>H14</f>
        <v>-14656.2975</v>
      </c>
    </row>
    <row r="16" spans="1:8" ht="11.25">
      <c r="A16" s="3" t="s">
        <v>45</v>
      </c>
      <c r="B16" s="37" t="s">
        <v>28</v>
      </c>
      <c r="C16" s="3" t="s">
        <v>33</v>
      </c>
      <c r="D16" s="4">
        <v>500</v>
      </c>
      <c r="E16" s="40">
        <v>32.75</v>
      </c>
      <c r="F16" s="5">
        <f>($D16*$E16)*0.002</f>
        <v>32.75</v>
      </c>
      <c r="G16" s="5">
        <f>$F16*0.07</f>
        <v>2.2925000000000004</v>
      </c>
      <c r="H16" s="5">
        <f>IF($C16="BUY",(($D16*$E16)+$F16+$G16)*(-1),IF($C16="SELL",($D16*$E16)-$F16-$G16))</f>
        <v>16339.9575</v>
      </c>
    </row>
    <row r="17" spans="2:8" ht="11.25">
      <c r="B17" s="37" t="s">
        <v>28</v>
      </c>
      <c r="C17" s="3" t="s">
        <v>16</v>
      </c>
      <c r="D17" s="4">
        <v>500</v>
      </c>
      <c r="E17" s="40">
        <v>31.5</v>
      </c>
      <c r="F17" s="5">
        <f>($D17*$E17)*0.002</f>
        <v>31.5</v>
      </c>
      <c r="G17" s="5">
        <f>$F17*0.07</f>
        <v>2.205</v>
      </c>
      <c r="H17" s="5">
        <f>IF($C17="BUY",(($D17*$E17)+$F17+$G17)*(-1),IF($C17="SELL",($D17*$E17)-$F17-$G17))</f>
        <v>-15783.705</v>
      </c>
    </row>
    <row r="18" spans="1:8" ht="12" thickBot="1">
      <c r="A18" s="6"/>
      <c r="B18" s="42"/>
      <c r="C18" s="6"/>
      <c r="D18" s="7"/>
      <c r="E18" s="43"/>
      <c r="F18" s="8"/>
      <c r="G18" s="14" t="s">
        <v>34</v>
      </c>
      <c r="H18" s="14">
        <f>SUM(H16:H17)</f>
        <v>556.2525000000005</v>
      </c>
    </row>
    <row r="19" spans="1:8" ht="11.25">
      <c r="A19" s="3" t="s">
        <v>50</v>
      </c>
      <c r="B19" s="37" t="s">
        <v>28</v>
      </c>
      <c r="C19" s="3" t="s">
        <v>16</v>
      </c>
      <c r="D19" s="4">
        <v>500</v>
      </c>
      <c r="E19" s="40">
        <v>29.75</v>
      </c>
      <c r="F19" s="5">
        <f>($D19*$E19)*0.002</f>
        <v>29.75</v>
      </c>
      <c r="G19" s="5">
        <f>$F19*0.07</f>
        <v>2.0825</v>
      </c>
      <c r="H19" s="5">
        <f>IF($C19="BUY",(($D19*$E19)+$F19+$G19)*(-1),IF($C19="SELL",($D19*$E19)-$F19-$G19))</f>
        <v>-14906.8325</v>
      </c>
    </row>
    <row r="20" spans="1:8" ht="12" thickBot="1">
      <c r="A20" s="6"/>
      <c r="B20" s="42"/>
      <c r="C20" s="15"/>
      <c r="D20" s="7"/>
      <c r="E20" s="43"/>
      <c r="F20" s="8"/>
      <c r="G20" s="13" t="s">
        <v>14</v>
      </c>
      <c r="H20" s="13">
        <f>H19</f>
        <v>-14906.8325</v>
      </c>
    </row>
    <row r="21" spans="1:8" ht="11.25">
      <c r="A21" s="3" t="s">
        <v>52</v>
      </c>
      <c r="B21" s="37" t="s">
        <v>28</v>
      </c>
      <c r="C21" s="3" t="s">
        <v>16</v>
      </c>
      <c r="D21" s="4">
        <v>300</v>
      </c>
      <c r="E21" s="40">
        <v>29.5</v>
      </c>
      <c r="F21" s="5">
        <f>($D21*$E21)*0.002</f>
        <v>17.7</v>
      </c>
      <c r="G21" s="5">
        <f>$F21*0.07</f>
        <v>1.239</v>
      </c>
      <c r="H21" s="5">
        <f>IF($C21="BUY",(($D21*$E21)+$F21+$G21)*(-1),IF($C21="SELL",($D21*$E21)-$F21-$G21))</f>
        <v>-8868.939</v>
      </c>
    </row>
    <row r="22" spans="1:8" ht="12" thickBot="1">
      <c r="A22" s="6"/>
      <c r="B22" s="42"/>
      <c r="C22" s="6"/>
      <c r="D22" s="7"/>
      <c r="E22" s="43"/>
      <c r="F22" s="8"/>
      <c r="G22" s="13" t="s">
        <v>14</v>
      </c>
      <c r="H22" s="13">
        <f>H21</f>
        <v>-8868.939</v>
      </c>
    </row>
    <row r="23" spans="1:8" ht="11.25">
      <c r="A23" s="3" t="s">
        <v>54</v>
      </c>
      <c r="B23" s="37" t="s">
        <v>27</v>
      </c>
      <c r="C23" s="3" t="s">
        <v>33</v>
      </c>
      <c r="D23" s="4">
        <v>400</v>
      </c>
      <c r="E23" s="40">
        <v>27.5</v>
      </c>
      <c r="F23" s="5">
        <f>($D23*$E23)*0.002</f>
        <v>22</v>
      </c>
      <c r="G23" s="5">
        <f>$F23*0.07</f>
        <v>1.54</v>
      </c>
      <c r="H23" s="5">
        <f>IF($C23="BUY",(($D23*$E23)+$F23+$G23)*(-1),IF($C23="SELL",($D23*$E23)-$F23-$G23))</f>
        <v>10976.46</v>
      </c>
    </row>
    <row r="24" spans="2:8" ht="11.25">
      <c r="B24" s="37" t="s">
        <v>28</v>
      </c>
      <c r="C24" s="3" t="s">
        <v>16</v>
      </c>
      <c r="D24" s="4">
        <v>400</v>
      </c>
      <c r="E24" s="40">
        <v>28.75</v>
      </c>
      <c r="F24" s="5">
        <f>($D24*$E24)*0.002</f>
        <v>23</v>
      </c>
      <c r="G24" s="5">
        <f>$F24*0.07</f>
        <v>1.61</v>
      </c>
      <c r="H24" s="5">
        <f>IF($C24="BUY",(($D24*$E24)+$F24+$G24)*(-1),IF($C24="SELL",($D24*$E24)-$F24-$G24))</f>
        <v>-11524.61</v>
      </c>
    </row>
    <row r="25" spans="1:8" ht="12" thickBot="1">
      <c r="A25" s="6"/>
      <c r="B25" s="42"/>
      <c r="C25" s="6"/>
      <c r="D25" s="7"/>
      <c r="E25" s="43"/>
      <c r="F25" s="8"/>
      <c r="G25" s="13" t="s">
        <v>14</v>
      </c>
      <c r="H25" s="13">
        <f>SUM(H23:H24)</f>
        <v>-548.1500000000015</v>
      </c>
    </row>
    <row r="26" spans="1:8" ht="11.25">
      <c r="A26" s="3" t="s">
        <v>58</v>
      </c>
      <c r="B26" s="37" t="s">
        <v>27</v>
      </c>
      <c r="C26" s="3" t="s">
        <v>33</v>
      </c>
      <c r="D26" s="4">
        <v>400</v>
      </c>
      <c r="E26" s="40">
        <v>24.5</v>
      </c>
      <c r="F26" s="5">
        <f>($D26*$E26)*0.002</f>
        <v>19.6</v>
      </c>
      <c r="G26" s="5">
        <f>$F26*0.07</f>
        <v>1.3720000000000003</v>
      </c>
      <c r="H26" s="5">
        <f>IF($C26="BUY",(($D26*$E26)+$F26+$G26)*(-1),IF($C26="SELL",($D26*$E26)-$F26-$G26))</f>
        <v>9779.028</v>
      </c>
    </row>
    <row r="27" spans="2:8" ht="11.25">
      <c r="B27" s="37" t="s">
        <v>28</v>
      </c>
      <c r="C27" s="3" t="s">
        <v>33</v>
      </c>
      <c r="D27" s="4">
        <v>700</v>
      </c>
      <c r="E27" s="40">
        <v>28.5</v>
      </c>
      <c r="F27" s="5">
        <f>($D27*$E27)*0.002</f>
        <v>39.9</v>
      </c>
      <c r="G27" s="5">
        <f>$F27*0.07</f>
        <v>2.793</v>
      </c>
      <c r="H27" s="5">
        <f>IF($C27="BUY",(($D27*$E27)+$F27+$G27)*(-1),IF($C27="SELL",($D27*$E27)-$F27-$G27))</f>
        <v>19907.306999999997</v>
      </c>
    </row>
    <row r="28" spans="1:8" ht="12" thickBot="1">
      <c r="A28" s="6"/>
      <c r="B28" s="42"/>
      <c r="C28" s="6"/>
      <c r="D28" s="7"/>
      <c r="E28" s="43"/>
      <c r="F28" s="8"/>
      <c r="G28" s="14" t="s">
        <v>34</v>
      </c>
      <c r="H28" s="14">
        <f>SUM(H26:H27)</f>
        <v>29686.335</v>
      </c>
    </row>
    <row r="29" spans="1:8" ht="11.25">
      <c r="A29" s="3" t="s">
        <v>60</v>
      </c>
      <c r="B29" s="37" t="s">
        <v>28</v>
      </c>
      <c r="C29" s="3" t="s">
        <v>33</v>
      </c>
      <c r="D29" s="4">
        <v>1500</v>
      </c>
      <c r="E29" s="40">
        <v>29.5</v>
      </c>
      <c r="F29" s="5">
        <f>($D29*$E29)*0.002</f>
        <v>88.5</v>
      </c>
      <c r="G29" s="5">
        <f>$F29*0.07</f>
        <v>6.195</v>
      </c>
      <c r="H29" s="5">
        <f>IF($C29="BUY",(($D29*$E29)+$F29+$G29)*(-1),IF($C29="SELL",($D29*$E29)-$F29-$G29))</f>
        <v>44155.305</v>
      </c>
    </row>
    <row r="30" spans="1:8" ht="12" thickBot="1">
      <c r="A30" s="6"/>
      <c r="B30" s="42"/>
      <c r="C30" s="6"/>
      <c r="D30" s="7"/>
      <c r="E30" s="43"/>
      <c r="F30" s="8"/>
      <c r="G30" s="14" t="s">
        <v>34</v>
      </c>
      <c r="H30" s="14">
        <f>H29</f>
        <v>44155.305</v>
      </c>
    </row>
    <row r="31" spans="1:8" ht="11.25">
      <c r="A31" s="3" t="s">
        <v>63</v>
      </c>
      <c r="B31" s="37" t="s">
        <v>28</v>
      </c>
      <c r="C31" s="3" t="s">
        <v>16</v>
      </c>
      <c r="D31" s="4">
        <v>1000</v>
      </c>
      <c r="E31" s="40">
        <v>28.75</v>
      </c>
      <c r="F31" s="5">
        <f>($D31*$E31)*0.002</f>
        <v>57.5</v>
      </c>
      <c r="G31" s="5">
        <f>$F31*0.07</f>
        <v>4.025</v>
      </c>
      <c r="H31" s="5">
        <f>IF($C31="BUY",(($D31*$E31)+$F31+$G31)*(-1),IF($C31="SELL",($D31*$E31)-$F31-$G31))</f>
        <v>-28811.525</v>
      </c>
    </row>
    <row r="32" spans="2:8" ht="11.25">
      <c r="B32" s="37" t="s">
        <v>28</v>
      </c>
      <c r="C32" s="3" t="s">
        <v>16</v>
      </c>
      <c r="D32" s="4">
        <v>100</v>
      </c>
      <c r="E32" s="40">
        <v>28.25</v>
      </c>
      <c r="F32" s="5">
        <f>($D32*$E32)*0.002</f>
        <v>5.65</v>
      </c>
      <c r="G32" s="5">
        <f>$F32*0.07</f>
        <v>0.3955000000000001</v>
      </c>
      <c r="H32" s="5">
        <f>IF($C32="BUY",(($D32*$E32)+$F32+$G32)*(-1),IF($C32="SELL",($D32*$E32)-$F32-$G32))</f>
        <v>-2831.0455</v>
      </c>
    </row>
    <row r="33" spans="1:8" ht="12" thickBot="1">
      <c r="A33" s="6"/>
      <c r="B33" s="42"/>
      <c r="C33" s="6"/>
      <c r="D33" s="7"/>
      <c r="E33" s="43"/>
      <c r="F33" s="8"/>
      <c r="G33" s="13" t="s">
        <v>14</v>
      </c>
      <c r="H33" s="13">
        <f>SUM(H31:H32)</f>
        <v>-31642.5705</v>
      </c>
    </row>
    <row r="34" spans="1:8" ht="11.25">
      <c r="A34" s="3" t="s">
        <v>64</v>
      </c>
      <c r="B34" s="37" t="s">
        <v>28</v>
      </c>
      <c r="C34" s="3" t="s">
        <v>33</v>
      </c>
      <c r="D34" s="4">
        <v>1500</v>
      </c>
      <c r="E34" s="40">
        <v>29.25</v>
      </c>
      <c r="F34" s="5">
        <f>($D34*$E34)*0.002</f>
        <v>87.75</v>
      </c>
      <c r="G34" s="5">
        <f>$F34*0.07</f>
        <v>6.142500000000001</v>
      </c>
      <c r="H34" s="5">
        <f>IF($C34="BUY",(($D34*$E34)+$F34+$G34)*(-1),IF($C34="SELL",($D34*$E34)-$F34-$G34))</f>
        <v>43781.1075</v>
      </c>
    </row>
    <row r="35" spans="1:8" ht="12" thickBot="1">
      <c r="A35" s="6"/>
      <c r="B35" s="42"/>
      <c r="C35" s="6"/>
      <c r="D35" s="7"/>
      <c r="E35" s="43"/>
      <c r="F35" s="8"/>
      <c r="G35" s="14" t="s">
        <v>34</v>
      </c>
      <c r="H35" s="14">
        <f>H34</f>
        <v>43781.1075</v>
      </c>
    </row>
    <row r="36" spans="1:8" ht="11.25">
      <c r="A36" s="3" t="s">
        <v>65</v>
      </c>
      <c r="B36" s="37" t="s">
        <v>29</v>
      </c>
      <c r="C36" s="3" t="s">
        <v>16</v>
      </c>
      <c r="D36" s="4">
        <v>500</v>
      </c>
      <c r="E36" s="40">
        <v>38.5</v>
      </c>
      <c r="F36" s="5">
        <f>($D36*$E36)*0.002</f>
        <v>38.5</v>
      </c>
      <c r="G36" s="5">
        <f>$F36*0.07</f>
        <v>2.6950000000000003</v>
      </c>
      <c r="H36" s="5">
        <f>IF($C36="BUY",(($D36*$E36)+$F36+$G36)*(-1),IF($C36="SELL",($D36*$E36)-$F36-$G36))</f>
        <v>-19291.195</v>
      </c>
    </row>
    <row r="37" spans="2:10" ht="11.25">
      <c r="B37" s="37" t="s">
        <v>28</v>
      </c>
      <c r="C37" s="3" t="s">
        <v>33</v>
      </c>
      <c r="D37" s="4">
        <v>400</v>
      </c>
      <c r="E37" s="40">
        <v>31.25</v>
      </c>
      <c r="F37" s="5">
        <f>($D37*$E37)*0.002</f>
        <v>25</v>
      </c>
      <c r="G37" s="5">
        <f>$F37*0.07</f>
        <v>1.7500000000000002</v>
      </c>
      <c r="H37" s="5">
        <f>IF($C37="BUY",(($D37*$E37)+$F37+$G37)*(-1),IF($C37="SELL",($D37*$E37)-$F37-$G37))</f>
        <v>12473.25</v>
      </c>
      <c r="J37" s="11">
        <f>SUM(H5,H8,H10,H12,H14,H16:H17,H19,H21,H24,H27,H29,H31:H32,H34,H37)</f>
        <v>1129.7054999999891</v>
      </c>
    </row>
    <row r="38" spans="1:8" ht="12" thickBot="1">
      <c r="A38" s="6"/>
      <c r="B38" s="42"/>
      <c r="C38" s="6"/>
      <c r="D38" s="7"/>
      <c r="E38" s="43"/>
      <c r="F38" s="8"/>
      <c r="G38" s="13" t="s">
        <v>14</v>
      </c>
      <c r="H38" s="13">
        <f>SUM(H36:H37)</f>
        <v>-6817.945</v>
      </c>
    </row>
    <row r="39" spans="1:8" ht="11.25">
      <c r="A39" s="3" t="s">
        <v>70</v>
      </c>
      <c r="B39" s="37" t="s">
        <v>29</v>
      </c>
      <c r="C39" s="3" t="s">
        <v>16</v>
      </c>
      <c r="D39" s="4">
        <v>300</v>
      </c>
      <c r="E39" s="40">
        <v>38.25</v>
      </c>
      <c r="F39" s="5">
        <f>($D39*$E39)*0.002</f>
        <v>22.95</v>
      </c>
      <c r="G39" s="5">
        <f>$F39*0.07</f>
        <v>1.6065</v>
      </c>
      <c r="H39" s="5">
        <f>IF($C39="BUY",(($D39*$E39)+$F39+$G39)*(-1),IF($C39="SELL",($D39*$E39)-$F39-$G39))</f>
        <v>-11499.5565</v>
      </c>
    </row>
    <row r="40" spans="1:8" ht="12" thickBot="1">
      <c r="A40" s="6"/>
      <c r="B40" s="42"/>
      <c r="C40" s="6"/>
      <c r="D40" s="7"/>
      <c r="E40" s="43"/>
      <c r="F40" s="8"/>
      <c r="G40" s="13" t="s">
        <v>14</v>
      </c>
      <c r="H40" s="13">
        <f>H39</f>
        <v>-11499.5565</v>
      </c>
    </row>
    <row r="41" spans="1:10" ht="11.25">
      <c r="A41" s="3" t="s">
        <v>73</v>
      </c>
      <c r="B41" s="37" t="s">
        <v>29</v>
      </c>
      <c r="C41" s="3" t="s">
        <v>33</v>
      </c>
      <c r="D41" s="4">
        <v>500</v>
      </c>
      <c r="E41" s="40">
        <v>39.5</v>
      </c>
      <c r="F41" s="5">
        <f>($D41*$E41)*0.002</f>
        <v>39.5</v>
      </c>
      <c r="G41" s="5">
        <f>$F41*0.07</f>
        <v>2.765</v>
      </c>
      <c r="H41" s="5">
        <f>IF($C41="BUY",(($D41*$E41)+$F41+$G41)*(-1),IF($C41="SELL",($D41*$E41)-$F41-$G41))</f>
        <v>19707.735</v>
      </c>
      <c r="J41" s="10"/>
    </row>
    <row r="42" spans="2:8" ht="11.25">
      <c r="B42" s="37" t="s">
        <v>29</v>
      </c>
      <c r="C42" s="3" t="s">
        <v>16</v>
      </c>
      <c r="D42" s="4">
        <v>500</v>
      </c>
      <c r="E42" s="40">
        <v>39.5</v>
      </c>
      <c r="F42" s="5">
        <f>($D42*$E42)*0.002</f>
        <v>39.5</v>
      </c>
      <c r="G42" s="5">
        <f>$F42*0.07</f>
        <v>2.765</v>
      </c>
      <c r="H42" s="5">
        <f>IF($C42="BUY",(($D42*$E42)+$F42+$G42)*(-1),IF($C42="SELL",($D42*$E42)-$F42-$G42))</f>
        <v>-19792.265</v>
      </c>
    </row>
    <row r="43" spans="1:8" ht="12" thickBot="1">
      <c r="A43" s="6"/>
      <c r="B43" s="42"/>
      <c r="C43" s="6"/>
      <c r="D43" s="7"/>
      <c r="E43" s="43"/>
      <c r="F43" s="8"/>
      <c r="G43" s="13" t="s">
        <v>14</v>
      </c>
      <c r="H43" s="13">
        <f>SUM(H41:H42)</f>
        <v>-84.52999999999884</v>
      </c>
    </row>
    <row r="44" spans="1:8" ht="11.25">
      <c r="A44" s="3" t="s">
        <v>81</v>
      </c>
      <c r="B44" s="37" t="s">
        <v>29</v>
      </c>
      <c r="C44" s="3" t="s">
        <v>33</v>
      </c>
      <c r="D44" s="4">
        <v>500</v>
      </c>
      <c r="E44" s="40">
        <v>38.5</v>
      </c>
      <c r="F44" s="5">
        <f>($D44*$E44)*0.002</f>
        <v>38.5</v>
      </c>
      <c r="G44" s="5">
        <f>$F44*0.07</f>
        <v>2.6950000000000003</v>
      </c>
      <c r="H44" s="5">
        <f>IF($C44="BUY",(($D44*$E44)+$F44+$G44)*(-1),IF($C44="SELL",($D44*$E44)-$F44-$G44))</f>
        <v>19208.805</v>
      </c>
    </row>
    <row r="45" spans="1:8" ht="12" thickBot="1">
      <c r="A45" s="6"/>
      <c r="B45" s="42"/>
      <c r="C45" s="6"/>
      <c r="D45" s="7"/>
      <c r="E45" s="43"/>
      <c r="F45" s="8"/>
      <c r="G45" s="14" t="s">
        <v>34</v>
      </c>
      <c r="H45" s="14">
        <f>H44</f>
        <v>19208.805</v>
      </c>
    </row>
    <row r="46" spans="1:8" ht="11.25">
      <c r="A46" s="3" t="s">
        <v>87</v>
      </c>
      <c r="B46" s="37" t="s">
        <v>27</v>
      </c>
      <c r="C46" s="3" t="s">
        <v>33</v>
      </c>
      <c r="D46" s="4">
        <v>600</v>
      </c>
      <c r="E46" s="40">
        <v>23.5</v>
      </c>
      <c r="F46" s="5">
        <f>($D46*$E46)*0.002</f>
        <v>28.2</v>
      </c>
      <c r="G46" s="5">
        <f>$F46*0.07</f>
        <v>1.9740000000000002</v>
      </c>
      <c r="H46" s="5">
        <f>IF($C46="BUY",(($D46*$E46)+$F46+$G46)*(-1),IF($C46="SELL",($D46*$E46)-$F46-$G46))</f>
        <v>14069.826</v>
      </c>
    </row>
    <row r="47" spans="2:8" ht="11.25">
      <c r="B47" s="37" t="s">
        <v>88</v>
      </c>
      <c r="C47" s="3" t="s">
        <v>16</v>
      </c>
      <c r="D47" s="4">
        <v>500</v>
      </c>
      <c r="E47" s="40">
        <v>23.7</v>
      </c>
      <c r="F47" s="5">
        <f>($D47*$E47)*0.002</f>
        <v>23.7</v>
      </c>
      <c r="G47" s="5">
        <f>$F47*0.07</f>
        <v>1.659</v>
      </c>
      <c r="H47" s="5">
        <f>IF($C47="BUY",(($D47*$E47)+$F47+$G47)*(-1),IF($C47="SELL",($D47*$E47)-$F47-$G47))</f>
        <v>-11875.359</v>
      </c>
    </row>
    <row r="48" spans="2:8" ht="11.25">
      <c r="B48" s="37" t="s">
        <v>88</v>
      </c>
      <c r="C48" s="3" t="s">
        <v>16</v>
      </c>
      <c r="D48" s="4">
        <v>300</v>
      </c>
      <c r="E48" s="40">
        <v>23.3</v>
      </c>
      <c r="F48" s="5">
        <f>($D48*$E48)*0.002</f>
        <v>13.98</v>
      </c>
      <c r="G48" s="5">
        <f>$F48*0.07</f>
        <v>0.9786000000000001</v>
      </c>
      <c r="H48" s="5">
        <f>IF($C48="BUY",(($D48*$E48)+$F48+$G48)*(-1),IF($C48="SELL",($D48*$E48)-$F48-$G48))</f>
        <v>-7004.9586</v>
      </c>
    </row>
    <row r="49" spans="2:8" ht="11.25">
      <c r="B49" s="37" t="s">
        <v>88</v>
      </c>
      <c r="C49" s="3" t="s">
        <v>16</v>
      </c>
      <c r="D49" s="4">
        <v>300</v>
      </c>
      <c r="E49" s="40">
        <v>23.2</v>
      </c>
      <c r="F49" s="5">
        <f>($D49*$E49)*0.002</f>
        <v>13.92</v>
      </c>
      <c r="G49" s="5">
        <f>$F49*0.07</f>
        <v>0.9744</v>
      </c>
      <c r="H49" s="5">
        <f>IF($C49="BUY",(($D49*$E49)+$F49+$G49)*(-1),IF($C49="SELL",($D49*$E49)-$F49-$G49))</f>
        <v>-6974.8944</v>
      </c>
    </row>
    <row r="50" spans="1:8" ht="12" thickBot="1">
      <c r="A50" s="6"/>
      <c r="B50" s="42"/>
      <c r="C50" s="6"/>
      <c r="D50" s="7"/>
      <c r="E50" s="43"/>
      <c r="F50" s="8"/>
      <c r="G50" s="13" t="s">
        <v>14</v>
      </c>
      <c r="H50" s="13">
        <f>SUM(H46:H49)</f>
        <v>-11785.386000000002</v>
      </c>
    </row>
    <row r="51" spans="1:8" ht="11.25">
      <c r="A51" s="3" t="s">
        <v>89</v>
      </c>
      <c r="B51" s="37" t="s">
        <v>88</v>
      </c>
      <c r="C51" s="3" t="s">
        <v>33</v>
      </c>
      <c r="D51" s="4">
        <v>300</v>
      </c>
      <c r="E51" s="40">
        <v>24</v>
      </c>
      <c r="F51" s="5">
        <f>($D51*$E51)*0.002</f>
        <v>14.4</v>
      </c>
      <c r="G51" s="5">
        <f>$F51*0.07</f>
        <v>1.0080000000000002</v>
      </c>
      <c r="H51" s="5">
        <f>IF($C51="BUY",(($D51*$E51)+$F51+$G51)*(-1),IF($C51="SELL",($D51*$E51)-$F51-$G51))</f>
        <v>7184.592000000001</v>
      </c>
    </row>
    <row r="52" spans="2:10" ht="11.25">
      <c r="B52" s="37" t="s">
        <v>88</v>
      </c>
      <c r="C52" s="3" t="s">
        <v>33</v>
      </c>
      <c r="D52" s="4">
        <v>800</v>
      </c>
      <c r="E52" s="40">
        <v>23.9</v>
      </c>
      <c r="F52" s="5">
        <f>($D52*$E52)*0.002</f>
        <v>38.24</v>
      </c>
      <c r="G52" s="5">
        <f>$F52*0.07</f>
        <v>2.6768000000000005</v>
      </c>
      <c r="H52" s="5">
        <f>IF($C52="BUY",(($D52*$E52)+$F52+$G52)*(-1),IF($C52="SELL",($D52*$E52)-$F52-$G52))</f>
        <v>19079.083199999997</v>
      </c>
      <c r="J52" s="11">
        <f>SUM(H47:H49,H51:H52)</f>
        <v>408.4631999999947</v>
      </c>
    </row>
    <row r="53" spans="2:8" ht="11.25">
      <c r="B53" s="37" t="s">
        <v>90</v>
      </c>
      <c r="C53" s="3" t="s">
        <v>16</v>
      </c>
      <c r="D53" s="4">
        <v>4000</v>
      </c>
      <c r="E53" s="40">
        <v>7.75</v>
      </c>
      <c r="F53" s="5">
        <f>($D53*$E53)*0.002</f>
        <v>62</v>
      </c>
      <c r="G53" s="5">
        <f>$F53*0.07</f>
        <v>4.340000000000001</v>
      </c>
      <c r="H53" s="5">
        <f>IF($C53="BUY",(($D53*$E53)+$F53+$G53)*(-1),IF($C53="SELL",($D53*$E53)-$F53-$G53))</f>
        <v>-31066.34</v>
      </c>
    </row>
    <row r="54" spans="1:8" ht="12" thickBot="1">
      <c r="A54" s="6"/>
      <c r="B54" s="42"/>
      <c r="C54" s="6"/>
      <c r="D54" s="7"/>
      <c r="E54" s="43"/>
      <c r="F54" s="8"/>
      <c r="G54" s="13" t="s">
        <v>14</v>
      </c>
      <c r="H54" s="13">
        <f>SUM(H51:H53)</f>
        <v>-4802.664800000002</v>
      </c>
    </row>
    <row r="55" spans="1:8" ht="11.25">
      <c r="A55" s="3" t="s">
        <v>92</v>
      </c>
      <c r="B55" s="37" t="s">
        <v>29</v>
      </c>
      <c r="C55" s="3" t="s">
        <v>33</v>
      </c>
      <c r="D55" s="4">
        <v>1000</v>
      </c>
      <c r="E55" s="40">
        <v>37.25</v>
      </c>
      <c r="F55" s="5">
        <f>($D55*$E55)*0.002</f>
        <v>74.5</v>
      </c>
      <c r="G55" s="5">
        <f>$F55*0.07</f>
        <v>5.215000000000001</v>
      </c>
      <c r="H55" s="5">
        <f>IF($C55="BUY",(($D55*$E55)+$F55+$G55)*(-1),IF($C55="SELL",($D55*$E55)-$F55-$G55))</f>
        <v>37170.285</v>
      </c>
    </row>
    <row r="56" spans="1:8" ht="12" thickBot="1">
      <c r="A56" s="6"/>
      <c r="B56" s="42"/>
      <c r="C56" s="6"/>
      <c r="D56" s="7"/>
      <c r="E56" s="43"/>
      <c r="F56" s="8"/>
      <c r="G56" s="14" t="s">
        <v>34</v>
      </c>
      <c r="H56" s="14">
        <f>H55</f>
        <v>37170.285</v>
      </c>
    </row>
    <row r="57" spans="1:8" ht="11.25">
      <c r="A57" s="3" t="s">
        <v>94</v>
      </c>
      <c r="B57" s="37" t="s">
        <v>90</v>
      </c>
      <c r="C57" s="3" t="s">
        <v>33</v>
      </c>
      <c r="D57" s="4">
        <v>2000</v>
      </c>
      <c r="E57" s="40">
        <v>8</v>
      </c>
      <c r="F57" s="5">
        <f>($D57*$E57)*0.002</f>
        <v>32</v>
      </c>
      <c r="G57" s="5">
        <f>$F57*0.07</f>
        <v>2.24</v>
      </c>
      <c r="H57" s="5">
        <f>IF($C57="BUY",(($D57*$E57)+$F57+$G57)*(-1),IF($C57="SELL",($D57*$E57)-$F57-$G57))</f>
        <v>15965.76</v>
      </c>
    </row>
    <row r="58" spans="1:8" ht="12" thickBot="1">
      <c r="A58" s="6"/>
      <c r="B58" s="42"/>
      <c r="C58" s="6"/>
      <c r="D58" s="7"/>
      <c r="E58" s="43"/>
      <c r="F58" s="8"/>
      <c r="G58" s="14" t="s">
        <v>34</v>
      </c>
      <c r="H58" s="14">
        <f>H57</f>
        <v>15965.76</v>
      </c>
    </row>
    <row r="59" spans="1:8" ht="11.25">
      <c r="A59" s="3" t="s">
        <v>96</v>
      </c>
      <c r="B59" s="37" t="s">
        <v>13</v>
      </c>
      <c r="C59" s="3" t="s">
        <v>16</v>
      </c>
      <c r="D59" s="4">
        <v>300</v>
      </c>
      <c r="E59" s="40">
        <v>79</v>
      </c>
      <c r="F59" s="5">
        <f>($D59*$E59)*0.002</f>
        <v>47.4</v>
      </c>
      <c r="G59" s="5">
        <f>$F59*0.07</f>
        <v>3.318</v>
      </c>
      <c r="H59" s="5">
        <f>IF($C59="BUY",(($D59*$E59)+$F59+$G59)*(-1),IF($C59="SELL",($D59*$E59)-$F59-$G59))</f>
        <v>-23750.718</v>
      </c>
    </row>
    <row r="60" spans="2:8" ht="11.25">
      <c r="B60" s="37" t="s">
        <v>13</v>
      </c>
      <c r="C60" s="3" t="s">
        <v>33</v>
      </c>
      <c r="D60" s="4">
        <v>300</v>
      </c>
      <c r="E60" s="40">
        <v>70.5</v>
      </c>
      <c r="F60" s="5">
        <f>($D60*$E60)*0.002</f>
        <v>42.300000000000004</v>
      </c>
      <c r="G60" s="5">
        <f>$F60*0.07</f>
        <v>2.9610000000000007</v>
      </c>
      <c r="H60" s="5">
        <f>IF($C60="BUY",(($D60*$E60)+$F60+$G60)*(-1),IF($C60="SELL",($D60*$E60)-$F60-$G60))</f>
        <v>21104.739</v>
      </c>
    </row>
    <row r="61" spans="1:8" ht="12" thickBot="1">
      <c r="A61" s="6"/>
      <c r="B61" s="42"/>
      <c r="C61" s="6"/>
      <c r="D61" s="7"/>
      <c r="E61" s="43"/>
      <c r="F61" s="8"/>
      <c r="G61" s="16" t="s">
        <v>14</v>
      </c>
      <c r="H61" s="16">
        <f>SUM(H59:H60)</f>
        <v>-2645.9789999999994</v>
      </c>
    </row>
    <row r="62" spans="1:8" ht="11.25">
      <c r="A62" s="3" t="s">
        <v>98</v>
      </c>
      <c r="B62" s="37" t="s">
        <v>99</v>
      </c>
      <c r="C62" s="3" t="s">
        <v>16</v>
      </c>
      <c r="D62" s="4">
        <v>5000</v>
      </c>
      <c r="E62" s="40">
        <v>4.24</v>
      </c>
      <c r="F62" s="5">
        <f>($D62*$E62)*0.002</f>
        <v>42.4</v>
      </c>
      <c r="G62" s="5">
        <f>$F62*0.07</f>
        <v>2.968</v>
      </c>
      <c r="H62" s="5">
        <f>IF($C62="BUY",(($D62*$E62)+$F62+$G62)*(-1),IF($C62="SELL",($D62*$E62)-$F62-$G62))</f>
        <v>-21245.368000000002</v>
      </c>
    </row>
    <row r="63" spans="2:8" ht="11.25">
      <c r="B63" s="37" t="s">
        <v>99</v>
      </c>
      <c r="C63" s="3" t="s">
        <v>33</v>
      </c>
      <c r="D63" s="4">
        <v>4500</v>
      </c>
      <c r="E63" s="40">
        <v>4.32</v>
      </c>
      <c r="F63" s="5">
        <f>($D63*$E63)*0.002</f>
        <v>38.88</v>
      </c>
      <c r="G63" s="5">
        <f>$F63*0.07</f>
        <v>2.7216000000000005</v>
      </c>
      <c r="H63" s="5">
        <f>IF($C63="BUY",(($D63*$E63)+$F63+$G63)*(-1),IF($C63="SELL",($D63*$E63)-$F63-$G63))</f>
        <v>19398.3984</v>
      </c>
    </row>
    <row r="64" spans="2:8" ht="11.25">
      <c r="B64" s="37" t="s">
        <v>99</v>
      </c>
      <c r="C64" s="3" t="s">
        <v>16</v>
      </c>
      <c r="D64" s="4">
        <v>5000</v>
      </c>
      <c r="E64" s="40">
        <v>4.2</v>
      </c>
      <c r="F64" s="5">
        <f>($D64*$E64)*0.002</f>
        <v>42</v>
      </c>
      <c r="G64" s="5">
        <f>$F64*0.07</f>
        <v>2.9400000000000004</v>
      </c>
      <c r="H64" s="5">
        <f>IF($C64="BUY",(($D64*$E64)+$F64+$G64)*(-1),IF($C64="SELL",($D64*$E64)-$F64-$G64))</f>
        <v>-21044.94</v>
      </c>
    </row>
    <row r="65" spans="2:8" ht="11.25">
      <c r="B65" s="37" t="s">
        <v>99</v>
      </c>
      <c r="C65" s="3" t="s">
        <v>16</v>
      </c>
      <c r="D65" s="4">
        <v>5000</v>
      </c>
      <c r="E65" s="40">
        <v>4.18</v>
      </c>
      <c r="F65" s="5">
        <f>($D65*$E65)*0.002</f>
        <v>41.800000000000004</v>
      </c>
      <c r="G65" s="5">
        <f>$F65*0.07</f>
        <v>2.9260000000000006</v>
      </c>
      <c r="H65" s="5">
        <f>IF($C65="BUY",(($D65*$E65)+$F65+$G65)*(-1),IF($C65="SELL",($D65*$E65)-$F65-$G65))</f>
        <v>-20944.726</v>
      </c>
    </row>
    <row r="66" spans="2:8" ht="11.25">
      <c r="B66" s="37" t="s">
        <v>100</v>
      </c>
      <c r="C66" s="3" t="s">
        <v>16</v>
      </c>
      <c r="D66" s="4">
        <v>300</v>
      </c>
      <c r="E66" s="40">
        <v>108</v>
      </c>
      <c r="F66" s="5">
        <f>($D66*$E66)*0.002</f>
        <v>64.8</v>
      </c>
      <c r="G66" s="5">
        <f>$F66*0.07</f>
        <v>4.5360000000000005</v>
      </c>
      <c r="H66" s="5">
        <f>IF($C66="BUY",(($D66*$E66)+$F66+$G66)*(-1),IF($C66="SELL",($D66*$E66)-$F66-$G66))</f>
        <v>-32469.336</v>
      </c>
    </row>
    <row r="67" spans="1:8" ht="12" thickBot="1">
      <c r="A67" s="6"/>
      <c r="B67" s="42"/>
      <c r="C67" s="6"/>
      <c r="D67" s="7"/>
      <c r="E67" s="43"/>
      <c r="F67" s="8"/>
      <c r="G67" s="13" t="s">
        <v>14</v>
      </c>
      <c r="H67" s="13">
        <f>SUM(H62:H66)</f>
        <v>-76305.9716</v>
      </c>
    </row>
    <row r="68" spans="1:10" ht="11.25">
      <c r="A68" s="3" t="s">
        <v>102</v>
      </c>
      <c r="B68" s="37" t="s">
        <v>100</v>
      </c>
      <c r="C68" s="3" t="s">
        <v>33</v>
      </c>
      <c r="D68" s="4">
        <v>300</v>
      </c>
      <c r="E68" s="40">
        <v>113</v>
      </c>
      <c r="F68" s="5">
        <f>($D68*$E68)*0.002</f>
        <v>67.8</v>
      </c>
      <c r="G68" s="5">
        <f>$F68*0.07</f>
        <v>4.746</v>
      </c>
      <c r="H68" s="5">
        <f>IF($C68="BUY",(($D68*$E68)+$F68+$G68)*(-1),IF($C68="SELL",($D68*$E68)-$F68-$G68))</f>
        <v>33827.454</v>
      </c>
      <c r="J68" s="10"/>
    </row>
    <row r="69" spans="2:8" ht="11.25">
      <c r="B69" s="37" t="s">
        <v>100</v>
      </c>
      <c r="C69" s="3" t="s">
        <v>16</v>
      </c>
      <c r="D69" s="4">
        <v>300</v>
      </c>
      <c r="E69" s="40">
        <v>110</v>
      </c>
      <c r="F69" s="5">
        <f>($D69*$E69)*0.002</f>
        <v>66</v>
      </c>
      <c r="G69" s="5">
        <f>$F69*0.07</f>
        <v>4.62</v>
      </c>
      <c r="H69" s="5">
        <f>IF($C69="BUY",(($D69*$E69)+$F69+$G69)*(-1),IF($C69="SELL",($D69*$E69)-$F69-$G69))</f>
        <v>-33070.62</v>
      </c>
    </row>
    <row r="70" spans="1:8" ht="12" thickBot="1">
      <c r="A70" s="6"/>
      <c r="B70" s="42"/>
      <c r="C70" s="6"/>
      <c r="D70" s="7"/>
      <c r="E70" s="43"/>
      <c r="F70" s="8"/>
      <c r="G70" s="14" t="s">
        <v>34</v>
      </c>
      <c r="H70" s="14">
        <f>SUM(H68:H69)</f>
        <v>756.8339999999953</v>
      </c>
    </row>
    <row r="71" spans="1:10" ht="11.25">
      <c r="A71" s="3" t="s">
        <v>104</v>
      </c>
      <c r="B71" s="37" t="s">
        <v>100</v>
      </c>
      <c r="C71" s="3" t="s">
        <v>33</v>
      </c>
      <c r="D71" s="4">
        <v>300</v>
      </c>
      <c r="E71" s="40">
        <v>112</v>
      </c>
      <c r="F71" s="5">
        <f>($D71*$E71)*0.002</f>
        <v>67.2</v>
      </c>
      <c r="G71" s="5">
        <f>$F71*0.07</f>
        <v>4.704000000000001</v>
      </c>
      <c r="H71" s="5">
        <f>IF($C71="BUY",(($D71*$E71)+$F71+$G71)*(-1),IF($C71="SELL",($D71*$E71)-$F71-$G71))</f>
        <v>33528.096000000005</v>
      </c>
      <c r="J71" s="11">
        <f>SUM(H66,H68:H69,H71)</f>
        <v>1815.594000000001</v>
      </c>
    </row>
    <row r="72" spans="2:10" ht="11.25">
      <c r="B72" s="37" t="s">
        <v>90</v>
      </c>
      <c r="C72" s="3" t="s">
        <v>33</v>
      </c>
      <c r="D72" s="4">
        <v>2000</v>
      </c>
      <c r="E72" s="40">
        <v>7.95</v>
      </c>
      <c r="F72" s="5">
        <f>($D72*$E72)*0.002</f>
        <v>31.8</v>
      </c>
      <c r="G72" s="5">
        <f>$F72*0.07</f>
        <v>2.2260000000000004</v>
      </c>
      <c r="H72" s="5">
        <f>IF($C72="BUY",(($D72*$E72)+$F72+$G72)*(-1),IF($C72="SELL",($D72*$E72)-$F72-$G72))</f>
        <v>15865.974</v>
      </c>
      <c r="J72" s="11">
        <f>SUM(H53,H57,H72)</f>
        <v>765.3940000000002</v>
      </c>
    </row>
    <row r="73" spans="2:8" ht="11.25">
      <c r="B73" s="37" t="s">
        <v>99</v>
      </c>
      <c r="C73" s="3" t="s">
        <v>33</v>
      </c>
      <c r="D73" s="4">
        <v>5500</v>
      </c>
      <c r="E73" s="40">
        <v>4.48</v>
      </c>
      <c r="F73" s="5">
        <f>($D73*$E73)*0.002</f>
        <v>49.28000000000001</v>
      </c>
      <c r="G73" s="5">
        <f>$F73*0.07</f>
        <v>3.449600000000001</v>
      </c>
      <c r="H73" s="5">
        <f>IF($C73="BUY",(($D73*$E73)+$F73+$G73)*(-1),IF($C73="SELL",($D73*$E73)-$F73-$G73))</f>
        <v>24587.270400000005</v>
      </c>
    </row>
    <row r="74" spans="1:8" ht="12" thickBot="1">
      <c r="A74" s="6"/>
      <c r="B74" s="42"/>
      <c r="C74" s="6"/>
      <c r="D74" s="7"/>
      <c r="E74" s="43"/>
      <c r="F74" s="8"/>
      <c r="G74" s="14" t="s">
        <v>34</v>
      </c>
      <c r="H74" s="14">
        <f>SUM(H71:H73)</f>
        <v>73981.34040000002</v>
      </c>
    </row>
    <row r="75" spans="1:8" ht="11.25">
      <c r="A75" s="3" t="s">
        <v>106</v>
      </c>
      <c r="B75" s="37" t="s">
        <v>99</v>
      </c>
      <c r="C75" s="3" t="s">
        <v>33</v>
      </c>
      <c r="D75" s="4">
        <v>2000</v>
      </c>
      <c r="E75" s="40">
        <v>5</v>
      </c>
      <c r="F75" s="5">
        <f>($D75*$E75)*0.002</f>
        <v>20</v>
      </c>
      <c r="G75" s="5">
        <f>$F75*0.07</f>
        <v>1.4000000000000001</v>
      </c>
      <c r="H75" s="5">
        <f>IF($C75="BUY",(($D75*$E75)+$F75+$G75)*(-1),IF($C75="SELL",($D75*$E75)-$F75-$G75))</f>
        <v>9978.6</v>
      </c>
    </row>
    <row r="76" spans="2:10" ht="11.25">
      <c r="B76" s="37" t="s">
        <v>99</v>
      </c>
      <c r="C76" s="3" t="s">
        <v>33</v>
      </c>
      <c r="D76" s="4">
        <v>3000</v>
      </c>
      <c r="E76" s="40">
        <v>4.96</v>
      </c>
      <c r="F76" s="5">
        <f>($D76*$E76)*0.002</f>
        <v>29.76</v>
      </c>
      <c r="G76" s="5">
        <f>$F76*0.07</f>
        <v>2.0832</v>
      </c>
      <c r="H76" s="5">
        <f>IF($C76="BUY",(($D76*$E76)+$F76+$G76)*(-1),IF($C76="SELL",($D76*$E76)-$F76-$G76))</f>
        <v>14848.1568</v>
      </c>
      <c r="J76" s="11">
        <f>SUM(H62:H65,H73,H75:H76)</f>
        <v>5577.3916000000045</v>
      </c>
    </row>
    <row r="77" spans="1:8" ht="12" thickBot="1">
      <c r="A77" s="6"/>
      <c r="B77" s="42"/>
      <c r="C77" s="6"/>
      <c r="D77" s="7"/>
      <c r="E77" s="43"/>
      <c r="F77" s="8"/>
      <c r="G77" s="14" t="s">
        <v>34</v>
      </c>
      <c r="H77" s="14">
        <f>SUM(H75:H76)</f>
        <v>24826.756800000003</v>
      </c>
    </row>
    <row r="78" spans="1:8" ht="11.25">
      <c r="A78" s="3" t="s">
        <v>109</v>
      </c>
      <c r="B78" s="37" t="s">
        <v>29</v>
      </c>
      <c r="C78" s="3" t="s">
        <v>16</v>
      </c>
      <c r="D78" s="4">
        <v>200</v>
      </c>
      <c r="E78" s="40">
        <v>37</v>
      </c>
      <c r="F78" s="5">
        <f>($D78*$E78)*0.002</f>
        <v>14.8</v>
      </c>
      <c r="G78" s="5">
        <f>$F78*0.07</f>
        <v>1.0360000000000003</v>
      </c>
      <c r="H78" s="5">
        <f>IF($C78="BUY",(($D78*$E78)+$F78+$G78)*(-1),IF($C78="SELL",($D78*$E78)-$F78-$G78))</f>
        <v>-7415.836</v>
      </c>
    </row>
    <row r="79" spans="1:8" ht="12" thickBot="1">
      <c r="A79" s="6"/>
      <c r="B79" s="42"/>
      <c r="C79" s="6"/>
      <c r="D79" s="7"/>
      <c r="E79" s="43"/>
      <c r="F79" s="8"/>
      <c r="G79" s="13" t="s">
        <v>14</v>
      </c>
      <c r="H79" s="13">
        <f>H78</f>
        <v>-7415.836</v>
      </c>
    </row>
    <row r="80" spans="1:10" ht="11.25">
      <c r="A80" s="3" t="s">
        <v>112</v>
      </c>
      <c r="B80" s="37" t="s">
        <v>29</v>
      </c>
      <c r="C80" s="3" t="s">
        <v>33</v>
      </c>
      <c r="D80" s="4">
        <v>500</v>
      </c>
      <c r="E80" s="40">
        <v>39.5</v>
      </c>
      <c r="F80" s="5">
        <f aca="true" t="shared" si="0" ref="F80:F118">($D80*$E80)*0.002</f>
        <v>39.5</v>
      </c>
      <c r="G80" s="5">
        <f aca="true" t="shared" si="1" ref="G80:G148">$F80*0.07</f>
        <v>2.765</v>
      </c>
      <c r="H80" s="5">
        <f aca="true" t="shared" si="2" ref="H80:H90">IF($C80="BUY",(($D80*$E80)+$F80+$G80)*(-1),IF($C80="SELL",($D80*$E80)-$F80-$G80))</f>
        <v>19707.735</v>
      </c>
      <c r="J80" s="10"/>
    </row>
    <row r="81" spans="2:8" ht="11.25">
      <c r="B81" s="37" t="s">
        <v>100</v>
      </c>
      <c r="C81" s="3" t="s">
        <v>16</v>
      </c>
      <c r="D81" s="4">
        <v>100</v>
      </c>
      <c r="E81" s="40">
        <v>105</v>
      </c>
      <c r="F81" s="5">
        <f t="shared" si="0"/>
        <v>21</v>
      </c>
      <c r="G81" s="5">
        <f t="shared" si="1"/>
        <v>1.4700000000000002</v>
      </c>
      <c r="H81" s="5">
        <f t="shared" si="2"/>
        <v>-10522.47</v>
      </c>
    </row>
    <row r="82" spans="2:8" ht="11.25">
      <c r="B82" s="37" t="s">
        <v>100</v>
      </c>
      <c r="C82" s="3" t="s">
        <v>16</v>
      </c>
      <c r="D82" s="4">
        <v>600</v>
      </c>
      <c r="E82" s="40">
        <v>104</v>
      </c>
      <c r="F82" s="5">
        <f t="shared" si="0"/>
        <v>124.8</v>
      </c>
      <c r="G82" s="5">
        <f t="shared" si="1"/>
        <v>8.736</v>
      </c>
      <c r="H82" s="5">
        <f t="shared" si="2"/>
        <v>-62533.536</v>
      </c>
    </row>
    <row r="83" spans="2:8" ht="11.25">
      <c r="B83" s="37" t="s">
        <v>100</v>
      </c>
      <c r="C83" s="3" t="s">
        <v>16</v>
      </c>
      <c r="D83" s="4">
        <v>100</v>
      </c>
      <c r="E83" s="40">
        <v>101</v>
      </c>
      <c r="F83" s="5">
        <f t="shared" si="0"/>
        <v>20.2</v>
      </c>
      <c r="G83" s="5">
        <f t="shared" si="1"/>
        <v>1.4140000000000001</v>
      </c>
      <c r="H83" s="5">
        <f t="shared" si="2"/>
        <v>-10121.614000000001</v>
      </c>
    </row>
    <row r="84" spans="2:8" ht="11.25">
      <c r="B84" s="37" t="s">
        <v>99</v>
      </c>
      <c r="C84" s="3" t="s">
        <v>16</v>
      </c>
      <c r="D84" s="4">
        <v>10000</v>
      </c>
      <c r="E84" s="40">
        <v>5.05</v>
      </c>
      <c r="F84" s="5">
        <f t="shared" si="0"/>
        <v>101</v>
      </c>
      <c r="G84" s="5">
        <f t="shared" si="1"/>
        <v>7.07</v>
      </c>
      <c r="H84" s="5">
        <f t="shared" si="2"/>
        <v>-50608.07</v>
      </c>
    </row>
    <row r="85" spans="2:10" ht="11.25">
      <c r="B85" s="37" t="s">
        <v>99</v>
      </c>
      <c r="C85" s="3" t="s">
        <v>33</v>
      </c>
      <c r="D85" s="4">
        <v>10000</v>
      </c>
      <c r="E85" s="40">
        <v>5.2</v>
      </c>
      <c r="F85" s="5">
        <f t="shared" si="0"/>
        <v>104</v>
      </c>
      <c r="G85" s="5">
        <f t="shared" si="1"/>
        <v>7.280000000000001</v>
      </c>
      <c r="H85" s="5">
        <f t="shared" si="2"/>
        <v>51888.72</v>
      </c>
      <c r="J85" s="17">
        <f>SUM(H84:H85)</f>
        <v>1280.6500000000015</v>
      </c>
    </row>
    <row r="86" spans="1:8" ht="12" thickBot="1">
      <c r="A86" s="6"/>
      <c r="B86" s="42"/>
      <c r="C86" s="6"/>
      <c r="D86" s="7"/>
      <c r="E86" s="43"/>
      <c r="F86" s="8"/>
      <c r="G86" s="13" t="s">
        <v>14</v>
      </c>
      <c r="H86" s="13">
        <f>SUM(H80:H85)</f>
        <v>-62189.235</v>
      </c>
    </row>
    <row r="87" spans="1:8" ht="11.25">
      <c r="A87" s="3" t="s">
        <v>114</v>
      </c>
      <c r="B87" s="37" t="s">
        <v>100</v>
      </c>
      <c r="C87" s="3" t="s">
        <v>16</v>
      </c>
      <c r="D87" s="4">
        <v>100</v>
      </c>
      <c r="E87" s="40">
        <v>98</v>
      </c>
      <c r="F87" s="5">
        <f t="shared" si="0"/>
        <v>19.6</v>
      </c>
      <c r="G87" s="5">
        <f t="shared" si="1"/>
        <v>1.3720000000000003</v>
      </c>
      <c r="H87" s="5">
        <f t="shared" si="2"/>
        <v>-9820.972</v>
      </c>
    </row>
    <row r="88" spans="2:8" ht="11.25">
      <c r="B88" s="37" t="s">
        <v>100</v>
      </c>
      <c r="C88" s="3" t="s">
        <v>16</v>
      </c>
      <c r="D88" s="4">
        <v>100</v>
      </c>
      <c r="E88" s="40">
        <v>92.5</v>
      </c>
      <c r="F88" s="5">
        <f t="shared" si="0"/>
        <v>18.5</v>
      </c>
      <c r="G88" s="5">
        <f t="shared" si="1"/>
        <v>1.2950000000000002</v>
      </c>
      <c r="H88" s="5">
        <f t="shared" si="2"/>
        <v>-9269.795</v>
      </c>
    </row>
    <row r="89" spans="2:8" ht="11.25">
      <c r="B89" s="37" t="s">
        <v>100</v>
      </c>
      <c r="C89" s="3" t="s">
        <v>33</v>
      </c>
      <c r="D89" s="4">
        <v>100</v>
      </c>
      <c r="E89" s="40">
        <v>93.5</v>
      </c>
      <c r="F89" s="5">
        <f t="shared" si="0"/>
        <v>18.7</v>
      </c>
      <c r="G89" s="5">
        <f t="shared" si="1"/>
        <v>1.3090000000000002</v>
      </c>
      <c r="H89" s="5">
        <f t="shared" si="2"/>
        <v>9329.991</v>
      </c>
    </row>
    <row r="90" spans="2:8" ht="11.25">
      <c r="B90" s="37" t="s">
        <v>27</v>
      </c>
      <c r="C90" s="3" t="s">
        <v>33</v>
      </c>
      <c r="D90" s="4">
        <v>400</v>
      </c>
      <c r="E90" s="40">
        <v>23.5</v>
      </c>
      <c r="F90" s="5">
        <f t="shared" si="0"/>
        <v>18.8</v>
      </c>
      <c r="G90" s="5">
        <f t="shared" si="1"/>
        <v>1.3160000000000003</v>
      </c>
      <c r="H90" s="5">
        <f t="shared" si="2"/>
        <v>9379.884</v>
      </c>
    </row>
    <row r="91" spans="1:8" ht="12" thickBot="1">
      <c r="A91" s="6"/>
      <c r="B91" s="42"/>
      <c r="C91" s="6"/>
      <c r="D91" s="7"/>
      <c r="E91" s="43"/>
      <c r="F91" s="8"/>
      <c r="G91" s="13" t="s">
        <v>14</v>
      </c>
      <c r="H91" s="13">
        <f>SUM(H87:H90)</f>
        <v>-380.8919999999998</v>
      </c>
    </row>
    <row r="92" spans="1:8" ht="11.25">
      <c r="A92" s="3" t="s">
        <v>117</v>
      </c>
      <c r="B92" s="37" t="s">
        <v>100</v>
      </c>
      <c r="C92" s="3" t="s">
        <v>16</v>
      </c>
      <c r="D92" s="4">
        <v>100</v>
      </c>
      <c r="E92" s="40">
        <v>95</v>
      </c>
      <c r="F92" s="5">
        <f t="shared" si="0"/>
        <v>19</v>
      </c>
      <c r="G92" s="5">
        <f t="shared" si="1"/>
        <v>1.33</v>
      </c>
      <c r="H92" s="5">
        <f>IF($C92="BUY",(($D92*$E92)+$F92+$G92)*(-1),IF($C92="SELL",($D92*$E92)-$F92-$G92))</f>
        <v>-9520.33</v>
      </c>
    </row>
    <row r="93" spans="1:8" ht="12" thickBot="1">
      <c r="A93" s="6"/>
      <c r="B93" s="42"/>
      <c r="C93" s="6"/>
      <c r="D93" s="7"/>
      <c r="E93" s="43"/>
      <c r="F93" s="8"/>
      <c r="G93" s="13" t="s">
        <v>14</v>
      </c>
      <c r="H93" s="13">
        <f>H92</f>
        <v>-9520.33</v>
      </c>
    </row>
    <row r="94" spans="1:8" ht="11.25">
      <c r="A94" s="3" t="s">
        <v>119</v>
      </c>
      <c r="B94" s="37" t="s">
        <v>100</v>
      </c>
      <c r="C94" s="3" t="s">
        <v>33</v>
      </c>
      <c r="D94" s="4">
        <v>200</v>
      </c>
      <c r="E94" s="40">
        <v>97.5</v>
      </c>
      <c r="F94" s="5">
        <f t="shared" si="0"/>
        <v>39</v>
      </c>
      <c r="G94" s="5">
        <f t="shared" si="1"/>
        <v>2.7300000000000004</v>
      </c>
      <c r="H94" s="5">
        <f>IF($C94="BUY",(($D94*$E94)+$F94+$G94)*(-1),IF($C94="SELL",($D94*$E94)-$F94-$G94))</f>
        <v>19458.27</v>
      </c>
    </row>
    <row r="95" spans="2:8" ht="11.25">
      <c r="B95" s="37" t="s">
        <v>100</v>
      </c>
      <c r="C95" s="3" t="s">
        <v>33</v>
      </c>
      <c r="D95" s="4">
        <v>500</v>
      </c>
      <c r="E95" s="40">
        <v>99.5</v>
      </c>
      <c r="F95" s="5">
        <f t="shared" si="0"/>
        <v>99.5</v>
      </c>
      <c r="G95" s="5">
        <f t="shared" si="1"/>
        <v>6.965000000000001</v>
      </c>
      <c r="H95" s="5">
        <f>IF($C95="BUY",(($D95*$E95)+$F95+$G95)*(-1),IF($C95="SELL",($D95*$E95)-$F95-$G95))</f>
        <v>49643.535</v>
      </c>
    </row>
    <row r="96" spans="1:8" ht="12" thickBot="1">
      <c r="A96" s="6"/>
      <c r="B96" s="42"/>
      <c r="C96" s="6"/>
      <c r="D96" s="7"/>
      <c r="E96" s="43"/>
      <c r="F96" s="8"/>
      <c r="G96" s="14" t="s">
        <v>34</v>
      </c>
      <c r="H96" s="14">
        <f>SUM(H94:H95)</f>
        <v>69101.80500000001</v>
      </c>
    </row>
    <row r="97" spans="1:11" ht="11.25">
      <c r="A97" s="3" t="s">
        <v>120</v>
      </c>
      <c r="B97" s="37" t="s">
        <v>100</v>
      </c>
      <c r="C97" s="3" t="s">
        <v>33</v>
      </c>
      <c r="D97" s="4">
        <v>300</v>
      </c>
      <c r="E97" s="40">
        <v>108</v>
      </c>
      <c r="F97" s="5">
        <f t="shared" si="0"/>
        <v>64.8</v>
      </c>
      <c r="G97" s="5">
        <f t="shared" si="1"/>
        <v>4.5360000000000005</v>
      </c>
      <c r="H97" s="5">
        <f>IF($C97="BUY",(($D97*$E97)+$F97+$G97)*(-1),IF($C97="SELL",($D97*$E97)-$F97-$G97))</f>
        <v>32330.664</v>
      </c>
      <c r="J97" s="18">
        <f>SUM(H81:H83,H87:H89,H92,H94:H95,H97)</f>
        <v>-1026.2569999999869</v>
      </c>
      <c r="K97" s="10"/>
    </row>
    <row r="98" spans="1:8" ht="12" thickBot="1">
      <c r="A98" s="6"/>
      <c r="B98" s="42"/>
      <c r="C98" s="6"/>
      <c r="D98" s="7"/>
      <c r="E98" s="43"/>
      <c r="F98" s="8"/>
      <c r="G98" s="14" t="s">
        <v>34</v>
      </c>
      <c r="H98" s="14">
        <f>H97</f>
        <v>32330.664</v>
      </c>
    </row>
    <row r="99" spans="1:8" ht="11.25">
      <c r="A99" s="3" t="s">
        <v>131</v>
      </c>
      <c r="B99" s="37" t="s">
        <v>130</v>
      </c>
      <c r="C99" s="3" t="s">
        <v>16</v>
      </c>
      <c r="D99" s="4">
        <v>1000</v>
      </c>
      <c r="E99" s="40">
        <v>35.25</v>
      </c>
      <c r="F99" s="5">
        <f t="shared" si="0"/>
        <v>70.5</v>
      </c>
      <c r="G99" s="5">
        <f t="shared" si="1"/>
        <v>4.9350000000000005</v>
      </c>
      <c r="H99" s="5">
        <f>IF($C99="BUY",(($D99*$E99)+$F99+$G99)*(-1),IF($C99="SELL",($D99*$E99)-$F99-$G99))</f>
        <v>-35325.435</v>
      </c>
    </row>
    <row r="100" spans="1:8" ht="12" thickBot="1">
      <c r="A100" s="6"/>
      <c r="B100" s="42"/>
      <c r="C100" s="6"/>
      <c r="D100" s="7"/>
      <c r="E100" s="43"/>
      <c r="F100" s="8"/>
      <c r="G100" s="13" t="s">
        <v>14</v>
      </c>
      <c r="H100" s="13">
        <f>H99</f>
        <v>-35325.435</v>
      </c>
    </row>
    <row r="101" spans="1:10" ht="11.25">
      <c r="A101" s="3" t="s">
        <v>135</v>
      </c>
      <c r="B101" s="37" t="s">
        <v>130</v>
      </c>
      <c r="C101" s="3" t="s">
        <v>33</v>
      </c>
      <c r="D101" s="4">
        <v>1000</v>
      </c>
      <c r="E101" s="40">
        <v>36.5</v>
      </c>
      <c r="F101" s="5">
        <f t="shared" si="0"/>
        <v>73</v>
      </c>
      <c r="G101" s="5">
        <f t="shared" si="1"/>
        <v>5.11</v>
      </c>
      <c r="H101" s="5">
        <f>IF($C101="BUY",(($D101*$E101)+$F101+$G101)*(-1),IF($C101="SELL",($D101*$E101)-$F101-$G101))</f>
        <v>36421.89</v>
      </c>
      <c r="J101" s="11">
        <f>SUM(H99,H101)</f>
        <v>1096.4550000000017</v>
      </c>
    </row>
    <row r="102" spans="1:8" ht="12" thickBot="1">
      <c r="A102" s="6"/>
      <c r="B102" s="42"/>
      <c r="C102" s="6"/>
      <c r="D102" s="7"/>
      <c r="E102" s="43"/>
      <c r="F102" s="8"/>
      <c r="G102" s="14" t="s">
        <v>34</v>
      </c>
      <c r="H102" s="14">
        <f>H101</f>
        <v>36421.89</v>
      </c>
    </row>
    <row r="103" spans="1:8" ht="11.25">
      <c r="A103" s="3" t="s">
        <v>137</v>
      </c>
      <c r="B103" s="37" t="s">
        <v>138</v>
      </c>
      <c r="C103" s="3" t="s">
        <v>16</v>
      </c>
      <c r="D103" s="4">
        <v>1000</v>
      </c>
      <c r="E103" s="40">
        <v>35.75</v>
      </c>
      <c r="F103" s="5">
        <f t="shared" si="0"/>
        <v>71.5</v>
      </c>
      <c r="G103" s="5">
        <f t="shared" si="1"/>
        <v>5.005000000000001</v>
      </c>
      <c r="H103" s="5">
        <f>IF($C103="BUY",(($D103*$E103)+$F103+$G103)*(-1),IF($C103="SELL",($D103*$E103)-$F103-$G103))</f>
        <v>-35826.505</v>
      </c>
    </row>
    <row r="104" spans="1:8" ht="12" thickBot="1">
      <c r="A104" s="6"/>
      <c r="B104" s="42"/>
      <c r="C104" s="6"/>
      <c r="D104" s="7"/>
      <c r="E104" s="43"/>
      <c r="F104" s="8"/>
      <c r="G104" s="13" t="s">
        <v>14</v>
      </c>
      <c r="H104" s="13">
        <f>H103</f>
        <v>-35826.505</v>
      </c>
    </row>
    <row r="105" spans="1:8" ht="11.25">
      <c r="A105" s="3" t="s">
        <v>147</v>
      </c>
      <c r="B105" s="37" t="s">
        <v>138</v>
      </c>
      <c r="C105" s="3" t="s">
        <v>16</v>
      </c>
      <c r="D105" s="4">
        <v>400</v>
      </c>
      <c r="E105" s="40">
        <v>36</v>
      </c>
      <c r="F105" s="5">
        <f t="shared" si="0"/>
        <v>28.8</v>
      </c>
      <c r="G105" s="5">
        <f t="shared" si="1"/>
        <v>2.0160000000000005</v>
      </c>
      <c r="H105" s="5">
        <f>IF($C105="BUY",(($D105*$E105)+$F105+$G105)*(-1),IF($C105="SELL",($D105*$E105)-$F105-$G105))</f>
        <v>-14430.815999999999</v>
      </c>
    </row>
    <row r="106" spans="2:8" ht="11.25">
      <c r="B106" s="37" t="s">
        <v>148</v>
      </c>
      <c r="C106" s="3" t="s">
        <v>16</v>
      </c>
      <c r="D106" s="4">
        <v>1000</v>
      </c>
      <c r="E106" s="40">
        <v>23.8</v>
      </c>
      <c r="F106" s="5">
        <f t="shared" si="0"/>
        <v>47.6</v>
      </c>
      <c r="G106" s="5">
        <f t="shared" si="1"/>
        <v>3.3320000000000003</v>
      </c>
      <c r="H106" s="5">
        <f>IF($C106="BUY",(($D106*$E106)+$F106+$G106)*(-1),IF($C106="SELL",($D106*$E106)-$F106-$G106))</f>
        <v>-23850.931999999997</v>
      </c>
    </row>
    <row r="107" spans="2:8" ht="11.25">
      <c r="B107" s="37" t="s">
        <v>99</v>
      </c>
      <c r="C107" s="3" t="s">
        <v>16</v>
      </c>
      <c r="D107" s="4">
        <v>6000</v>
      </c>
      <c r="E107" s="40">
        <v>4.26</v>
      </c>
      <c r="F107" s="5">
        <f t="shared" si="0"/>
        <v>51.120000000000005</v>
      </c>
      <c r="G107" s="5">
        <f t="shared" si="1"/>
        <v>3.5784000000000007</v>
      </c>
      <c r="H107" s="5">
        <f>IF($C107="BUY",(($D107*$E107)+$F107+$G107)*(-1),IF($C107="SELL",($D107*$E107)-$F107-$G107))</f>
        <v>-25614.698399999997</v>
      </c>
    </row>
    <row r="108" spans="1:8" ht="12" thickBot="1">
      <c r="A108" s="6"/>
      <c r="B108" s="42"/>
      <c r="C108" s="6"/>
      <c r="D108" s="7"/>
      <c r="E108" s="43"/>
      <c r="F108" s="8"/>
      <c r="G108" s="13" t="s">
        <v>14</v>
      </c>
      <c r="H108" s="13">
        <f>SUM(H105:H107)</f>
        <v>-63896.446399999986</v>
      </c>
    </row>
    <row r="109" spans="1:10" ht="11.25">
      <c r="A109" s="3" t="s">
        <v>152</v>
      </c>
      <c r="B109" s="37" t="s">
        <v>99</v>
      </c>
      <c r="C109" s="3" t="s">
        <v>33</v>
      </c>
      <c r="D109" s="4">
        <v>6000</v>
      </c>
      <c r="E109" s="40">
        <v>4.38</v>
      </c>
      <c r="F109" s="5">
        <f t="shared" si="0"/>
        <v>52.56</v>
      </c>
      <c r="G109" s="5">
        <f t="shared" si="1"/>
        <v>3.6792000000000007</v>
      </c>
      <c r="H109" s="5">
        <f aca="true" t="shared" si="3" ref="H109:H119">IF($C109="BUY",(($D109*$E109)+$F109+$G109)*(-1),IF($C109="SELL",($D109*$E109)-$F109-$G109))</f>
        <v>26223.7608</v>
      </c>
      <c r="J109" s="11">
        <f>SUM(H107,H109)</f>
        <v>609.0624000000025</v>
      </c>
    </row>
    <row r="110" spans="2:8" ht="11.25">
      <c r="B110" s="37" t="s">
        <v>153</v>
      </c>
      <c r="C110" s="3" t="s">
        <v>16</v>
      </c>
      <c r="D110" s="4">
        <v>1000</v>
      </c>
      <c r="E110" s="40">
        <v>10.8</v>
      </c>
      <c r="F110" s="5">
        <f t="shared" si="0"/>
        <v>21.6</v>
      </c>
      <c r="G110" s="5">
        <f t="shared" si="1"/>
        <v>1.5120000000000002</v>
      </c>
      <c r="H110" s="5">
        <f t="shared" si="3"/>
        <v>-10823.112000000001</v>
      </c>
    </row>
    <row r="111" spans="2:8" ht="11.25">
      <c r="B111" s="37" t="s">
        <v>153</v>
      </c>
      <c r="C111" s="3" t="s">
        <v>16</v>
      </c>
      <c r="D111" s="4">
        <v>2500</v>
      </c>
      <c r="E111" s="40">
        <v>10.7</v>
      </c>
      <c r="F111" s="5">
        <f t="shared" si="0"/>
        <v>53.5</v>
      </c>
      <c r="G111" s="5">
        <f t="shared" si="1"/>
        <v>3.7450000000000006</v>
      </c>
      <c r="H111" s="5">
        <f t="shared" si="3"/>
        <v>-26807.245</v>
      </c>
    </row>
    <row r="112" spans="2:8" ht="11.25">
      <c r="B112" s="37" t="s">
        <v>153</v>
      </c>
      <c r="C112" s="3" t="s">
        <v>16</v>
      </c>
      <c r="D112" s="4">
        <v>1500</v>
      </c>
      <c r="E112" s="40">
        <v>10.6</v>
      </c>
      <c r="F112" s="5">
        <f t="shared" si="0"/>
        <v>31.8</v>
      </c>
      <c r="G112" s="5">
        <f t="shared" si="1"/>
        <v>2.2260000000000004</v>
      </c>
      <c r="H112" s="5">
        <f t="shared" si="3"/>
        <v>-15934.026</v>
      </c>
    </row>
    <row r="113" spans="2:10" ht="11.25">
      <c r="B113" s="37" t="s">
        <v>138</v>
      </c>
      <c r="C113" s="3" t="s">
        <v>33</v>
      </c>
      <c r="D113" s="4">
        <v>400</v>
      </c>
      <c r="E113" s="40">
        <v>37.25</v>
      </c>
      <c r="F113" s="5">
        <f t="shared" si="0"/>
        <v>29.8</v>
      </c>
      <c r="G113" s="5">
        <f t="shared" si="1"/>
        <v>2.0860000000000003</v>
      </c>
      <c r="H113" s="5">
        <f t="shared" si="3"/>
        <v>14868.114000000001</v>
      </c>
      <c r="J113" s="17">
        <f>SUM(H105,H113)</f>
        <v>437.2980000000025</v>
      </c>
    </row>
    <row r="114" spans="2:8" ht="11.25">
      <c r="B114" s="37" t="s">
        <v>154</v>
      </c>
      <c r="C114" s="3" t="s">
        <v>16</v>
      </c>
      <c r="D114" s="4">
        <v>3000</v>
      </c>
      <c r="E114" s="40">
        <v>3.7</v>
      </c>
      <c r="F114" s="5">
        <f t="shared" si="0"/>
        <v>22.2</v>
      </c>
      <c r="G114" s="5">
        <f t="shared" si="1"/>
        <v>1.554</v>
      </c>
      <c r="H114" s="5">
        <f t="shared" si="3"/>
        <v>-11123.754</v>
      </c>
    </row>
    <row r="115" spans="2:10" ht="11.25">
      <c r="B115" s="37" t="s">
        <v>153</v>
      </c>
      <c r="C115" s="3" t="s">
        <v>33</v>
      </c>
      <c r="D115" s="4">
        <v>1500</v>
      </c>
      <c r="E115" s="40">
        <v>10.7</v>
      </c>
      <c r="F115" s="5">
        <f t="shared" si="0"/>
        <v>32.099999999999994</v>
      </c>
      <c r="G115" s="5">
        <f t="shared" si="1"/>
        <v>2.247</v>
      </c>
      <c r="H115" s="5">
        <f t="shared" si="3"/>
        <v>16015.652999999998</v>
      </c>
      <c r="J115" s="11">
        <f>SUM(H112,H115)</f>
        <v>81.62699999999859</v>
      </c>
    </row>
    <row r="116" spans="1:8" ht="12" thickBot="1">
      <c r="A116" s="6"/>
      <c r="B116" s="42"/>
      <c r="C116" s="6"/>
      <c r="D116" s="7"/>
      <c r="E116" s="43"/>
      <c r="F116" s="8"/>
      <c r="G116" s="13" t="s">
        <v>14</v>
      </c>
      <c r="H116" s="13">
        <f>SUM(H109:H115)</f>
        <v>-7580.609199999999</v>
      </c>
    </row>
    <row r="117" spans="1:8" ht="11.25">
      <c r="A117" s="19" t="s">
        <v>157</v>
      </c>
      <c r="B117" s="37" t="s">
        <v>148</v>
      </c>
      <c r="C117" s="3" t="s">
        <v>33</v>
      </c>
      <c r="D117" s="4">
        <v>500</v>
      </c>
      <c r="E117" s="40">
        <v>23.8</v>
      </c>
      <c r="F117" s="5">
        <f t="shared" si="0"/>
        <v>23.8</v>
      </c>
      <c r="G117" s="5">
        <f t="shared" si="1"/>
        <v>1.6660000000000001</v>
      </c>
      <c r="H117" s="5">
        <f t="shared" si="3"/>
        <v>11874.534000000001</v>
      </c>
    </row>
    <row r="118" spans="2:8" ht="11.25">
      <c r="B118" s="37" t="s">
        <v>154</v>
      </c>
      <c r="C118" s="3" t="s">
        <v>33</v>
      </c>
      <c r="D118" s="4">
        <v>2000</v>
      </c>
      <c r="E118" s="40">
        <v>3.64</v>
      </c>
      <c r="F118" s="5">
        <f t="shared" si="0"/>
        <v>14.56</v>
      </c>
      <c r="G118" s="5">
        <f t="shared" si="1"/>
        <v>1.0192</v>
      </c>
      <c r="H118" s="5">
        <f t="shared" si="3"/>
        <v>7264.4208</v>
      </c>
    </row>
    <row r="119" spans="2:10" ht="11.25">
      <c r="B119" s="124" t="s">
        <v>153</v>
      </c>
      <c r="C119" s="20" t="s">
        <v>16</v>
      </c>
      <c r="D119" s="21">
        <v>5000</v>
      </c>
      <c r="E119" s="128">
        <v>10.1</v>
      </c>
      <c r="F119" s="22">
        <f>($D119*$E119)*0.0025</f>
        <v>126.25</v>
      </c>
      <c r="G119" s="22">
        <f t="shared" si="1"/>
        <v>8.8375</v>
      </c>
      <c r="H119" s="22">
        <f t="shared" si="3"/>
        <v>-50635.0875</v>
      </c>
      <c r="J119" s="10"/>
    </row>
    <row r="120" spans="1:8" ht="12" thickBot="1">
      <c r="A120" s="6"/>
      <c r="B120" s="42"/>
      <c r="C120" s="6"/>
      <c r="D120" s="7"/>
      <c r="E120" s="43"/>
      <c r="F120" s="8"/>
      <c r="G120" s="13" t="s">
        <v>14</v>
      </c>
      <c r="H120" s="13">
        <f>SUM(H117:H119)-((50*1.07)-SUM(F117,G117,F118,G118))</f>
        <v>-31508.5875</v>
      </c>
    </row>
    <row r="121" spans="1:8" ht="11.25">
      <c r="A121" s="3" t="s">
        <v>158</v>
      </c>
      <c r="B121" s="37" t="s">
        <v>138</v>
      </c>
      <c r="C121" s="3" t="s">
        <v>33</v>
      </c>
      <c r="D121" s="4">
        <v>1000</v>
      </c>
      <c r="E121" s="40">
        <v>37</v>
      </c>
      <c r="F121" s="5">
        <f>($D121*$E121)*0.002</f>
        <v>74</v>
      </c>
      <c r="G121" s="5">
        <f t="shared" si="1"/>
        <v>5.180000000000001</v>
      </c>
      <c r="H121" s="5">
        <f>IF($C121="BUY",(($D121*$E121)+$F121+$G121)*(-1),IF($C121="SELL",($D121*$E121)-$F121-$G121))</f>
        <v>36920.82</v>
      </c>
    </row>
    <row r="122" spans="2:10" ht="11.25">
      <c r="B122" s="37" t="s">
        <v>153</v>
      </c>
      <c r="C122" s="3" t="s">
        <v>33</v>
      </c>
      <c r="D122" s="4">
        <v>3500</v>
      </c>
      <c r="E122" s="40">
        <v>9.55</v>
      </c>
      <c r="F122" s="5">
        <f>($D122*$E122)*0.002</f>
        <v>66.85</v>
      </c>
      <c r="G122" s="5">
        <f t="shared" si="1"/>
        <v>4.6795</v>
      </c>
      <c r="H122" s="5">
        <f>IF($C122="BUY",(($D122*$E122)+$F122+$G122)*(-1),IF($C122="SELL",($D122*$E122)-$F122-$G122))</f>
        <v>33353.4705</v>
      </c>
      <c r="J122" s="18">
        <f>SUM(H110:H111,H122)</f>
        <v>-4276.8865000000005</v>
      </c>
    </row>
    <row r="123" spans="2:8" ht="11.25">
      <c r="B123" s="37" t="s">
        <v>160</v>
      </c>
      <c r="C123" s="3" t="s">
        <v>16</v>
      </c>
      <c r="D123" s="4">
        <v>2400</v>
      </c>
      <c r="E123" s="40">
        <v>7.15</v>
      </c>
      <c r="F123" s="5">
        <f>($D123*$E123)*0.002</f>
        <v>34.32</v>
      </c>
      <c r="G123" s="5">
        <f t="shared" si="1"/>
        <v>2.4024</v>
      </c>
      <c r="H123" s="5">
        <f>IF($C123="BUY",(($D123*$E123)+$F123+$G123)*(-1),IF($C123="SELL",($D123*$E123)-$F123-$G123))</f>
        <v>-17196.7224</v>
      </c>
    </row>
    <row r="124" spans="1:8" ht="12" thickBot="1">
      <c r="A124" s="6"/>
      <c r="B124" s="42"/>
      <c r="C124" s="6"/>
      <c r="D124" s="7"/>
      <c r="E124" s="43"/>
      <c r="F124" s="8"/>
      <c r="G124" s="14" t="s">
        <v>34</v>
      </c>
      <c r="H124" s="14">
        <f>SUM(H121:H123)</f>
        <v>53077.568100000004</v>
      </c>
    </row>
    <row r="125" spans="1:8" ht="11.25">
      <c r="A125" s="3" t="s">
        <v>161</v>
      </c>
      <c r="B125" s="37" t="s">
        <v>138</v>
      </c>
      <c r="C125" s="3" t="s">
        <v>16</v>
      </c>
      <c r="D125" s="4">
        <v>1000</v>
      </c>
      <c r="E125" s="40">
        <v>36.5</v>
      </c>
      <c r="F125" s="5">
        <f>($D125*$E125)*0.002</f>
        <v>73</v>
      </c>
      <c r="G125" s="5">
        <f t="shared" si="1"/>
        <v>5.11</v>
      </c>
      <c r="H125" s="5">
        <f>IF($C125="BUY",(($D125*$E125)+$F125+$G125)*(-1),IF($C125="SELL",($D125*$E125)-$F125-$G125))</f>
        <v>-36578.11</v>
      </c>
    </row>
    <row r="126" spans="1:8" ht="12" thickBot="1">
      <c r="A126" s="6"/>
      <c r="B126" s="42"/>
      <c r="C126" s="6"/>
      <c r="D126" s="7"/>
      <c r="E126" s="43"/>
      <c r="F126" s="8"/>
      <c r="G126" s="13" t="s">
        <v>14</v>
      </c>
      <c r="H126" s="13">
        <f>H125</f>
        <v>-36578.11</v>
      </c>
    </row>
    <row r="127" spans="1:8" ht="11.25">
      <c r="A127" s="3" t="s">
        <v>163</v>
      </c>
      <c r="B127" s="37" t="s">
        <v>138</v>
      </c>
      <c r="C127" s="3" t="s">
        <v>16</v>
      </c>
      <c r="D127" s="4">
        <v>500</v>
      </c>
      <c r="E127" s="40">
        <v>36.5</v>
      </c>
      <c r="F127" s="5">
        <f>($D127*$E127)*0.002</f>
        <v>36.5</v>
      </c>
      <c r="G127" s="5">
        <f t="shared" si="1"/>
        <v>2.555</v>
      </c>
      <c r="H127" s="5">
        <f>IF($C127="BUY",(($D127*$E127)+$F127+$G127)*(-1),IF($C127="SELL",($D127*$E127)-$F127-$G127))</f>
        <v>-18289.055</v>
      </c>
    </row>
    <row r="128" spans="2:10" ht="11.25">
      <c r="B128" s="37" t="s">
        <v>160</v>
      </c>
      <c r="C128" s="3" t="s">
        <v>33</v>
      </c>
      <c r="D128" s="4">
        <v>2400</v>
      </c>
      <c r="E128" s="40">
        <v>7.35</v>
      </c>
      <c r="F128" s="5">
        <f>($D128*$E128)*0.002</f>
        <v>35.28</v>
      </c>
      <c r="G128" s="5">
        <f t="shared" si="1"/>
        <v>2.4696000000000002</v>
      </c>
      <c r="H128" s="5">
        <f>IF($C128="BUY",(($D128*$E128)+$F128+$G128)*(-1),IF($C128="SELL",($D128*$E128)-$F128-$G128))</f>
        <v>17602.2504</v>
      </c>
      <c r="J128" s="11">
        <f>SUM(H123,H128)</f>
        <v>405.52800000000207</v>
      </c>
    </row>
    <row r="129" spans="2:8" ht="11.25">
      <c r="B129" s="37" t="s">
        <v>164</v>
      </c>
      <c r="C129" s="3" t="s">
        <v>16</v>
      </c>
      <c r="D129" s="4">
        <v>5000</v>
      </c>
      <c r="E129" s="40">
        <v>4.94</v>
      </c>
      <c r="F129" s="5">
        <f>($D129*$E129)*0.002</f>
        <v>49.400000000000006</v>
      </c>
      <c r="G129" s="5">
        <f t="shared" si="1"/>
        <v>3.4580000000000006</v>
      </c>
      <c r="H129" s="5">
        <f>IF($C129="BUY",(($D129*$E129)+$F129+$G129)*(-1),IF($C129="SELL",($D129*$E129)-$F129-$G129))</f>
        <v>-24752.858000000004</v>
      </c>
    </row>
    <row r="130" spans="2:8" ht="11.25">
      <c r="B130" s="37" t="s">
        <v>29</v>
      </c>
      <c r="C130" s="3" t="s">
        <v>16</v>
      </c>
      <c r="D130" s="4">
        <v>500</v>
      </c>
      <c r="E130" s="40">
        <v>37</v>
      </c>
      <c r="F130" s="5">
        <f>($D130*$E130)*0.002</f>
        <v>37</v>
      </c>
      <c r="G130" s="5">
        <f t="shared" si="1"/>
        <v>2.5900000000000003</v>
      </c>
      <c r="H130" s="5">
        <f>IF($C130="BUY",(($D130*$E130)+$F130+$G130)*(-1),IF($C130="SELL",($D130*$E130)-$F130-$G130))</f>
        <v>-18539.59</v>
      </c>
    </row>
    <row r="131" spans="1:8" ht="12" thickBot="1">
      <c r="A131" s="6"/>
      <c r="B131" s="42"/>
      <c r="C131" s="6"/>
      <c r="D131" s="7"/>
      <c r="E131" s="43"/>
      <c r="F131" s="8"/>
      <c r="G131" s="13" t="s">
        <v>14</v>
      </c>
      <c r="H131" s="13">
        <f>SUM(H127:H130)</f>
        <v>-43979.25260000001</v>
      </c>
    </row>
    <row r="132" spans="1:8" ht="11.25">
      <c r="A132" s="3" t="s">
        <v>168</v>
      </c>
      <c r="B132" s="37" t="s">
        <v>138</v>
      </c>
      <c r="C132" s="3" t="s">
        <v>33</v>
      </c>
      <c r="D132" s="4">
        <v>1000</v>
      </c>
      <c r="E132" s="40">
        <v>36</v>
      </c>
      <c r="F132" s="5">
        <f>($D132*$E132)*0.002</f>
        <v>72</v>
      </c>
      <c r="G132" s="5">
        <f t="shared" si="1"/>
        <v>5.040000000000001</v>
      </c>
      <c r="H132" s="5">
        <f>IF($C132="BUY",(($D132*$E132)+$F132+$G132)*(-1),IF($C132="SELL",($D132*$E132)-$F132-$G132))</f>
        <v>35922.96</v>
      </c>
    </row>
    <row r="133" spans="2:8" ht="11.25">
      <c r="B133" s="37" t="s">
        <v>138</v>
      </c>
      <c r="C133" s="3" t="s">
        <v>16</v>
      </c>
      <c r="D133" s="4">
        <v>1000</v>
      </c>
      <c r="E133" s="40">
        <v>34.25</v>
      </c>
      <c r="F133" s="5">
        <f>($D133*$E133)*0.002</f>
        <v>68.5</v>
      </c>
      <c r="G133" s="5">
        <f t="shared" si="1"/>
        <v>4.795000000000001</v>
      </c>
      <c r="H133" s="5">
        <f>IF($C133="BUY",(($D133*$E133)+$F133+$G133)*(-1),IF($C133="SELL",($D133*$E133)-$F133-$G133))</f>
        <v>-34323.295</v>
      </c>
    </row>
    <row r="134" spans="2:8" ht="11.25">
      <c r="B134" s="37" t="s">
        <v>164</v>
      </c>
      <c r="C134" s="3" t="s">
        <v>33</v>
      </c>
      <c r="D134" s="4">
        <v>3000</v>
      </c>
      <c r="E134" s="40">
        <v>4.48</v>
      </c>
      <c r="F134" s="5">
        <f>($D134*$E134)*0.002</f>
        <v>26.880000000000003</v>
      </c>
      <c r="G134" s="5">
        <f t="shared" si="1"/>
        <v>1.8816000000000004</v>
      </c>
      <c r="H134" s="5">
        <f>IF($C134="BUY",(($D134*$E134)+$F134+$G134)*(-1),IF($C134="SELL",($D134*$E134)-$F134-$G134))</f>
        <v>13411.238400000002</v>
      </c>
    </row>
    <row r="135" spans="1:8" ht="12" thickBot="1">
      <c r="A135" s="6"/>
      <c r="B135" s="42"/>
      <c r="C135" s="6"/>
      <c r="D135" s="7"/>
      <c r="E135" s="43"/>
      <c r="F135" s="8"/>
      <c r="G135" s="14" t="s">
        <v>34</v>
      </c>
      <c r="H135" s="14">
        <f>SUM(H132:H134)</f>
        <v>15010.903400000003</v>
      </c>
    </row>
    <row r="136" spans="1:10" ht="11.25">
      <c r="A136" s="3" t="s">
        <v>170</v>
      </c>
      <c r="B136" s="37" t="s">
        <v>164</v>
      </c>
      <c r="C136" s="3" t="s">
        <v>33</v>
      </c>
      <c r="D136" s="4">
        <v>2000</v>
      </c>
      <c r="E136" s="40">
        <v>4.12</v>
      </c>
      <c r="F136" s="5">
        <f>($D136*$E136)*0.002</f>
        <v>16.48</v>
      </c>
      <c r="G136" s="5">
        <f t="shared" si="1"/>
        <v>1.1536000000000002</v>
      </c>
      <c r="H136" s="5">
        <f>IF($C136="BUY",(($D136*$E136)+$F136+$G136)*(-1),IF($C136="SELL",($D136*$E136)-$F136-$G136))</f>
        <v>8222.3664</v>
      </c>
      <c r="J136" s="18">
        <f>SUM(H129,H134,H136)</f>
        <v>-3119.253200000001</v>
      </c>
    </row>
    <row r="137" spans="2:8" ht="11.25">
      <c r="B137" s="37" t="s">
        <v>148</v>
      </c>
      <c r="C137" s="3" t="s">
        <v>33</v>
      </c>
      <c r="D137" s="4">
        <v>500</v>
      </c>
      <c r="E137" s="40">
        <v>23</v>
      </c>
      <c r="F137" s="5">
        <f>($D137*$E137)*0.002</f>
        <v>23</v>
      </c>
      <c r="G137" s="5">
        <f t="shared" si="1"/>
        <v>1.61</v>
      </c>
      <c r="H137" s="5">
        <f>IF($C137="BUY",(($D137*$E137)+$F137+$G137)*(-1),IF($C137="SELL",($D137*$E137)-$F137-$G137))</f>
        <v>11475.39</v>
      </c>
    </row>
    <row r="138" spans="2:8" ht="11.25">
      <c r="B138" s="37" t="s">
        <v>154</v>
      </c>
      <c r="C138" s="3" t="s">
        <v>16</v>
      </c>
      <c r="D138" s="4">
        <v>9000</v>
      </c>
      <c r="E138" s="40">
        <v>3.7</v>
      </c>
      <c r="F138" s="5">
        <f>($D138*$E138)*0.002</f>
        <v>66.6</v>
      </c>
      <c r="G138" s="5">
        <f t="shared" si="1"/>
        <v>4.662</v>
      </c>
      <c r="H138" s="5">
        <f>IF($C138="BUY",(($D138*$E138)+$F138+$G138)*(-1),IF($C138="SELL",($D138*$E138)-$F138-$G138))</f>
        <v>-33371.261999999995</v>
      </c>
    </row>
    <row r="139" spans="1:8" ht="12" thickBot="1">
      <c r="A139" s="6"/>
      <c r="B139" s="42"/>
      <c r="C139" s="6"/>
      <c r="D139" s="7"/>
      <c r="E139" s="43"/>
      <c r="F139" s="8"/>
      <c r="G139" s="13" t="s">
        <v>14</v>
      </c>
      <c r="H139" s="13">
        <f>SUM(H136:H138)</f>
        <v>-13673.505599999997</v>
      </c>
    </row>
    <row r="140" spans="1:10" ht="11.25">
      <c r="A140" s="3" t="s">
        <v>172</v>
      </c>
      <c r="B140" s="125" t="s">
        <v>153</v>
      </c>
      <c r="C140" s="23" t="s">
        <v>33</v>
      </c>
      <c r="D140" s="24">
        <v>5000</v>
      </c>
      <c r="E140" s="129">
        <v>9.4</v>
      </c>
      <c r="F140" s="25">
        <f>($D140*$E140)*0.0025</f>
        <v>117.5</v>
      </c>
      <c r="G140" s="25">
        <f t="shared" si="1"/>
        <v>8.225000000000001</v>
      </c>
      <c r="H140" s="25">
        <f>IF($C140="BUY",(($D140*$E140)+$F140+$G140)*(-1),IF($C140="SELL",($D140*$E140)-$F140-$G140))</f>
        <v>46874.275</v>
      </c>
      <c r="J140" s="18">
        <f>SUM(H140,H119)</f>
        <v>-3760.8125</v>
      </c>
    </row>
    <row r="141" spans="1:8" ht="12" thickBot="1">
      <c r="A141" s="6"/>
      <c r="B141" s="42"/>
      <c r="C141" s="6"/>
      <c r="D141" s="7"/>
      <c r="E141" s="43"/>
      <c r="F141" s="8"/>
      <c r="G141" s="14" t="s">
        <v>34</v>
      </c>
      <c r="H141" s="14">
        <f>H140</f>
        <v>46874.275</v>
      </c>
    </row>
    <row r="142" spans="1:8" ht="11.25">
      <c r="A142" s="3" t="s">
        <v>175</v>
      </c>
      <c r="B142" s="37" t="s">
        <v>154</v>
      </c>
      <c r="C142" s="3" t="s">
        <v>16</v>
      </c>
      <c r="D142" s="4">
        <v>10000</v>
      </c>
      <c r="E142" s="40">
        <v>3.78</v>
      </c>
      <c r="F142" s="5">
        <f>($D142*$E142)*0.002</f>
        <v>75.60000000000001</v>
      </c>
      <c r="G142" s="5">
        <f t="shared" si="1"/>
        <v>5.292000000000001</v>
      </c>
      <c r="H142" s="5">
        <f>IF($C142="BUY",(($D142*$E142)+$F142+$G142)*(-1),IF($C142="SELL",($D142*$E142)-$F142-$G142))</f>
        <v>-37880.892</v>
      </c>
    </row>
    <row r="143" spans="1:8" ht="12" thickBot="1">
      <c r="A143" s="6"/>
      <c r="B143" s="42"/>
      <c r="C143" s="6"/>
      <c r="D143" s="7"/>
      <c r="E143" s="43"/>
      <c r="F143" s="8"/>
      <c r="G143" s="13" t="s">
        <v>14</v>
      </c>
      <c r="H143" s="13">
        <f>H142</f>
        <v>-37880.892</v>
      </c>
    </row>
    <row r="144" spans="1:10" ht="11.25">
      <c r="A144" s="3" t="s">
        <v>177</v>
      </c>
      <c r="B144" s="37" t="s">
        <v>29</v>
      </c>
      <c r="C144" s="3" t="s">
        <v>33</v>
      </c>
      <c r="D144" s="4">
        <v>500</v>
      </c>
      <c r="E144" s="40">
        <v>38.25</v>
      </c>
      <c r="F144" s="5">
        <f>($D144*$E144)*0.002</f>
        <v>38.25</v>
      </c>
      <c r="G144" s="5">
        <f t="shared" si="1"/>
        <v>2.6775</v>
      </c>
      <c r="H144" s="5">
        <f>IF($C144="BUY",(($D144*$E144)+$F144+$G144)*(-1),IF($C144="SELL",($D144*$E144)-$F144-$G144))</f>
        <v>19084.0725</v>
      </c>
      <c r="J144" s="11">
        <f>SUM(H130,H144)</f>
        <v>544.4824999999983</v>
      </c>
    </row>
    <row r="145" spans="2:8" ht="11.25">
      <c r="B145" s="37" t="s">
        <v>154</v>
      </c>
      <c r="C145" s="3" t="s">
        <v>16</v>
      </c>
      <c r="D145" s="4">
        <v>7000</v>
      </c>
      <c r="E145" s="40">
        <v>3.86</v>
      </c>
      <c r="F145" s="5">
        <f>($D145*$E145)*0.002</f>
        <v>54.04</v>
      </c>
      <c r="G145" s="5">
        <f t="shared" si="1"/>
        <v>3.7828000000000004</v>
      </c>
      <c r="H145" s="5">
        <f>IF($C145="BUY",(($D145*$E145)+$F145+$G145)*(-1),IF($C145="SELL",($D145*$E145)-$F145-$G145))</f>
        <v>-27077.8228</v>
      </c>
    </row>
    <row r="146" spans="2:8" ht="11.25">
      <c r="B146" s="37" t="s">
        <v>154</v>
      </c>
      <c r="C146" s="3" t="s">
        <v>33</v>
      </c>
      <c r="D146" s="4">
        <v>500</v>
      </c>
      <c r="E146" s="40">
        <v>3.84</v>
      </c>
      <c r="F146" s="5">
        <f>($D146*$E146)*0.002</f>
        <v>3.84</v>
      </c>
      <c r="G146" s="5">
        <f t="shared" si="1"/>
        <v>0.26880000000000004</v>
      </c>
      <c r="H146" s="5">
        <f>IF($C146="BUY",(($D146*$E146)+$F146+$G146)*(-1),IF($C146="SELL",($D146*$E146)-$F146-$G146))</f>
        <v>1915.8912</v>
      </c>
    </row>
    <row r="147" spans="1:8" ht="12" thickBot="1">
      <c r="A147" s="6"/>
      <c r="B147" s="42"/>
      <c r="C147" s="6"/>
      <c r="D147" s="7"/>
      <c r="E147" s="43"/>
      <c r="F147" s="8"/>
      <c r="G147" s="13" t="s">
        <v>14</v>
      </c>
      <c r="H147" s="13">
        <f>SUM(H144:H146)</f>
        <v>-6077.859100000003</v>
      </c>
    </row>
    <row r="148" spans="1:8" ht="11.25">
      <c r="A148" s="3" t="s">
        <v>182</v>
      </c>
      <c r="B148" s="37" t="s">
        <v>148</v>
      </c>
      <c r="C148" s="3" t="s">
        <v>16</v>
      </c>
      <c r="D148" s="4">
        <v>200</v>
      </c>
      <c r="E148" s="40">
        <v>22.8</v>
      </c>
      <c r="F148" s="5">
        <f>($D148*$E148)*0.002</f>
        <v>9.120000000000001</v>
      </c>
      <c r="G148" s="5">
        <f t="shared" si="1"/>
        <v>0.6384000000000001</v>
      </c>
      <c r="H148" s="5">
        <f>IF($C148="BUY",(($D148*$E148)+$F148+$G148)*(-1),IF($C148="SELL",($D148*$E148)-$F148-$G148))</f>
        <v>-4569.7584</v>
      </c>
    </row>
    <row r="149" spans="2:10" ht="11.25">
      <c r="B149" s="37" t="s">
        <v>148</v>
      </c>
      <c r="C149" s="3" t="s">
        <v>33</v>
      </c>
      <c r="D149" s="4">
        <v>200</v>
      </c>
      <c r="E149" s="40">
        <v>24</v>
      </c>
      <c r="F149" s="5">
        <f>($D149*$E149)*0.002</f>
        <v>9.6</v>
      </c>
      <c r="G149" s="5">
        <f>$F149*0.07</f>
        <v>0.672</v>
      </c>
      <c r="H149" s="5">
        <f>IF($C149="BUY",(($D149*$E149)+$F149+$G149)*(-1),IF($C149="SELL",($D149*$E149)-$F149-$G149))</f>
        <v>4789.728</v>
      </c>
      <c r="J149" s="11">
        <f>SUM(H148,H149)</f>
        <v>219.96960000000036</v>
      </c>
    </row>
    <row r="150" spans="2:8" ht="11.25">
      <c r="B150" s="37" t="s">
        <v>154</v>
      </c>
      <c r="C150" s="3" t="s">
        <v>33</v>
      </c>
      <c r="D150" s="4">
        <v>5000</v>
      </c>
      <c r="E150" s="40">
        <v>3.88</v>
      </c>
      <c r="F150" s="5">
        <f>($D150*$E150)*0.002</f>
        <v>38.800000000000004</v>
      </c>
      <c r="G150" s="5">
        <f>$F150*0.07</f>
        <v>2.7160000000000006</v>
      </c>
      <c r="H150" s="5">
        <f>IF($C150="BUY",(($D150*$E150)+$F150+$G150)*(-1),IF($C150="SELL",($D150*$E150)-$F150-$G150))</f>
        <v>19358.484</v>
      </c>
    </row>
    <row r="151" spans="2:10" ht="11.25">
      <c r="B151" s="37" t="s">
        <v>154</v>
      </c>
      <c r="C151" s="3" t="s">
        <v>33</v>
      </c>
      <c r="D151" s="4">
        <v>10000</v>
      </c>
      <c r="E151" s="40">
        <v>3.94</v>
      </c>
      <c r="F151" s="5">
        <f>($D151*$E151)*0.002</f>
        <v>78.8</v>
      </c>
      <c r="G151" s="5">
        <f>$F151*0.07</f>
        <v>5.516</v>
      </c>
      <c r="H151" s="5">
        <f>IF($C151="BUY",(($D151*$E151)+$F151+$G151)*(-1),IF($C151="SELL",($D151*$E151)-$F151-$G151))</f>
        <v>39315.683999999994</v>
      </c>
      <c r="J151" s="10"/>
    </row>
    <row r="152" spans="1:8" ht="12" thickBot="1">
      <c r="A152" s="6"/>
      <c r="B152" s="42"/>
      <c r="C152" s="6"/>
      <c r="D152" s="7"/>
      <c r="E152" s="43"/>
      <c r="F152" s="8"/>
      <c r="G152" s="14" t="s">
        <v>34</v>
      </c>
      <c r="H152" s="14">
        <f>SUM(H148:H151)</f>
        <v>58894.137599999995</v>
      </c>
    </row>
    <row r="153" spans="1:10" ht="11.25">
      <c r="A153" s="3" t="s">
        <v>183</v>
      </c>
      <c r="B153" s="37" t="s">
        <v>154</v>
      </c>
      <c r="C153" s="3" t="s">
        <v>33</v>
      </c>
      <c r="D153" s="4">
        <v>11500</v>
      </c>
      <c r="E153" s="40">
        <v>4.04</v>
      </c>
      <c r="F153" s="5">
        <f>($D153*$E153)*0.002</f>
        <v>92.92</v>
      </c>
      <c r="G153" s="5">
        <f>$F153*0.07</f>
        <v>6.5044</v>
      </c>
      <c r="H153" s="5">
        <f>IF($C153="BUY",(($D153*$E153)+$F153+$G153)*(-1),IF($C153="SELL",($D153*$E153)-$F153-$G153))</f>
        <v>46360.575600000004</v>
      </c>
      <c r="J153" s="11">
        <f>SUM(H114,H118,H138,H142,H145,H146,H150,H151,H153,)</f>
        <v>4761.324799999995</v>
      </c>
    </row>
    <row r="154" spans="2:8" ht="11.25">
      <c r="B154" s="37" t="s">
        <v>154</v>
      </c>
      <c r="C154" s="3" t="s">
        <v>16</v>
      </c>
      <c r="D154" s="4">
        <v>10000</v>
      </c>
      <c r="E154" s="40">
        <v>3.96</v>
      </c>
      <c r="F154" s="5">
        <f>($D154*$E154)*0.002</f>
        <v>79.2</v>
      </c>
      <c r="G154" s="5">
        <f>$F154*0.07</f>
        <v>5.5440000000000005</v>
      </c>
      <c r="H154" s="5">
        <f>IF($C154="BUY",(($D154*$E154)+$F154+$G154)*(-1),IF($C154="SELL",($D154*$E154)-$F154-$G154))</f>
        <v>-39684.744</v>
      </c>
    </row>
    <row r="155" spans="1:8" ht="12" thickBot="1">
      <c r="A155" s="6"/>
      <c r="B155" s="42"/>
      <c r="C155" s="6"/>
      <c r="D155" s="7"/>
      <c r="E155" s="43"/>
      <c r="F155" s="8"/>
      <c r="G155" s="14" t="s">
        <v>34</v>
      </c>
      <c r="H155" s="14">
        <f>SUM(H153:H154)</f>
        <v>6675.831600000005</v>
      </c>
    </row>
    <row r="156" spans="1:8" ht="11.25">
      <c r="A156" s="3" t="s">
        <v>184</v>
      </c>
      <c r="B156" s="37" t="s">
        <v>138</v>
      </c>
      <c r="C156" s="3" t="s">
        <v>16</v>
      </c>
      <c r="D156" s="4">
        <v>1000</v>
      </c>
      <c r="E156" s="40">
        <v>32</v>
      </c>
      <c r="F156" s="5">
        <f>($D156*$E156)*0.002</f>
        <v>64</v>
      </c>
      <c r="G156" s="5">
        <f>$F156*0.07</f>
        <v>4.48</v>
      </c>
      <c r="H156" s="5">
        <f>IF($C156="BUY",(($D156*$E156)+$F156+$G156)*(-1),IF($C156="SELL",($D156*$E156)-$F156-$G156))</f>
        <v>-32068.48</v>
      </c>
    </row>
    <row r="157" spans="1:8" ht="12" thickBot="1">
      <c r="A157" s="6"/>
      <c r="B157" s="42"/>
      <c r="C157" s="6"/>
      <c r="D157" s="7"/>
      <c r="E157" s="43"/>
      <c r="F157" s="8"/>
      <c r="G157" s="13" t="s">
        <v>14</v>
      </c>
      <c r="H157" s="13">
        <f>H156</f>
        <v>-32068.48</v>
      </c>
    </row>
    <row r="158" spans="1:8" ht="11.25">
      <c r="A158" s="3" t="s">
        <v>187</v>
      </c>
      <c r="B158" s="37" t="s">
        <v>138</v>
      </c>
      <c r="C158" s="3" t="s">
        <v>33</v>
      </c>
      <c r="D158" s="4">
        <v>2000</v>
      </c>
      <c r="E158" s="40">
        <v>31.75</v>
      </c>
      <c r="F158" s="5">
        <f>($D158*$E158)*0.002</f>
        <v>127</v>
      </c>
      <c r="G158" s="5">
        <f>$F158*0.07</f>
        <v>8.89</v>
      </c>
      <c r="H158" s="5">
        <f>IF($C158="BUY",(($D158*$E158)+$F158+$G158)*(-1),IF($C158="SELL",($D158*$E158)-$F158-$G158))</f>
        <v>63364.11</v>
      </c>
    </row>
    <row r="159" spans="2:10" ht="11.25">
      <c r="B159" s="37" t="s">
        <v>138</v>
      </c>
      <c r="C159" s="3" t="s">
        <v>33</v>
      </c>
      <c r="D159" s="4">
        <v>500</v>
      </c>
      <c r="E159" s="40">
        <v>32.25</v>
      </c>
      <c r="F159" s="5">
        <f>($D159*$E159)*0.002</f>
        <v>32.25</v>
      </c>
      <c r="G159" s="5">
        <f>$F159*0.07</f>
        <v>2.2575000000000003</v>
      </c>
      <c r="H159" s="5">
        <f>IF($C159="BUY",(($D159*$E159)+$F159+$G159)*(-1),IF($C159="SELL",($D159*$E159)-$F159-$G159))</f>
        <v>16090.4925</v>
      </c>
      <c r="J159" s="18">
        <f>SUM(H103,H121,H125,H127,H132,H133,H156,H158,H159,)</f>
        <v>-4787.062499999993</v>
      </c>
    </row>
    <row r="160" spans="2:10" ht="11.25">
      <c r="B160" s="37" t="s">
        <v>138</v>
      </c>
      <c r="C160" s="3" t="s">
        <v>16</v>
      </c>
      <c r="D160" s="4">
        <v>500</v>
      </c>
      <c r="E160" s="40">
        <v>32</v>
      </c>
      <c r="F160" s="5">
        <f>($D160*$E160)*0.002</f>
        <v>32</v>
      </c>
      <c r="G160" s="5">
        <f>$F160*0.07</f>
        <v>2.24</v>
      </c>
      <c r="H160" s="5">
        <f>IF($C160="BUY",(($D160*$E160)+$F160+$G160)*(-1),IF($C160="SELL",($D160*$E160)-$F160-$G160))</f>
        <v>-16034.24</v>
      </c>
      <c r="J160" s="10"/>
    </row>
    <row r="161" spans="1:8" ht="12" thickBot="1">
      <c r="A161" s="6"/>
      <c r="B161" s="42"/>
      <c r="C161" s="6"/>
      <c r="D161" s="7"/>
      <c r="E161" s="43"/>
      <c r="F161" s="8"/>
      <c r="G161" s="14" t="s">
        <v>34</v>
      </c>
      <c r="H161" s="14">
        <f>SUM(H158:H160)</f>
        <v>63420.36250000001</v>
      </c>
    </row>
    <row r="162" spans="1:10" ht="11.25">
      <c r="A162" s="3" t="s">
        <v>190</v>
      </c>
      <c r="B162" s="37" t="s">
        <v>138</v>
      </c>
      <c r="C162" s="3" t="s">
        <v>33</v>
      </c>
      <c r="D162" s="4">
        <v>500</v>
      </c>
      <c r="E162" s="40">
        <v>30.5</v>
      </c>
      <c r="F162" s="5">
        <f>($D162*$E162)*0.002</f>
        <v>30.5</v>
      </c>
      <c r="G162" s="5">
        <f>$F162*0.07</f>
        <v>2.1350000000000002</v>
      </c>
      <c r="H162" s="5">
        <f>IF($C162="BUY",(($D162*$E162)+$F162+$G162)*(-1),IF($C162="SELL",($D162*$E162)-$F162-$G162))</f>
        <v>15217.365</v>
      </c>
      <c r="J162" s="18">
        <f>SUM(H160,H162)</f>
        <v>-816.875</v>
      </c>
    </row>
    <row r="163" spans="2:8" ht="11.25">
      <c r="B163" s="37" t="s">
        <v>154</v>
      </c>
      <c r="C163" s="3" t="s">
        <v>33</v>
      </c>
      <c r="D163" s="4">
        <v>5000</v>
      </c>
      <c r="E163" s="40">
        <v>3.74</v>
      </c>
      <c r="F163" s="5">
        <f>($D163*$E163)*0.002</f>
        <v>37.4</v>
      </c>
      <c r="G163" s="5">
        <f>$F163*0.07</f>
        <v>2.6180000000000003</v>
      </c>
      <c r="H163" s="5">
        <f>IF($C163="BUY",(($D163*$E163)+$F163+$G163)*(-1),IF($C163="SELL",($D163*$E163)-$F163-$G163))</f>
        <v>18659.982</v>
      </c>
    </row>
    <row r="164" spans="2:10" ht="11.25">
      <c r="B164" s="37" t="s">
        <v>154</v>
      </c>
      <c r="C164" s="3" t="s">
        <v>33</v>
      </c>
      <c r="D164" s="4">
        <v>5000</v>
      </c>
      <c r="E164" s="40">
        <v>3.7</v>
      </c>
      <c r="F164" s="5">
        <f>($D164*$E164)*0.002</f>
        <v>37</v>
      </c>
      <c r="G164" s="5">
        <f>$F164*0.07</f>
        <v>2.5900000000000003</v>
      </c>
      <c r="H164" s="5">
        <f>IF($C164="BUY",(($D164*$E164)+$F164+$G164)*(-1),IF($C164="SELL",($D164*$E164)-$F164-$G164))</f>
        <v>18460.41</v>
      </c>
      <c r="J164" s="18">
        <f>SUM(H154,H163,H164,)</f>
        <v>-2564.351999999999</v>
      </c>
    </row>
    <row r="165" spans="1:8" ht="12" thickBot="1">
      <c r="A165" s="6"/>
      <c r="B165" s="42"/>
      <c r="C165" s="6"/>
      <c r="D165" s="7"/>
      <c r="E165" s="43"/>
      <c r="F165" s="8"/>
      <c r="G165" s="14" t="s">
        <v>34</v>
      </c>
      <c r="H165" s="14">
        <f>SUM(H162:H164)</f>
        <v>52337.757</v>
      </c>
    </row>
    <row r="166" spans="1:8" ht="11.25">
      <c r="A166" s="3" t="s">
        <v>198</v>
      </c>
      <c r="B166" s="37" t="s">
        <v>199</v>
      </c>
      <c r="C166" s="3" t="s">
        <v>16</v>
      </c>
      <c r="D166" s="4">
        <v>200000</v>
      </c>
      <c r="E166" s="40">
        <v>0.26</v>
      </c>
      <c r="F166" s="5">
        <f>($D166*$E166)*0.002</f>
        <v>104</v>
      </c>
      <c r="G166" s="5">
        <f>$F166*0.07</f>
        <v>7.280000000000001</v>
      </c>
      <c r="H166" s="5">
        <f>IF($C166="BUY",(($D166*$E166)+$F166+$G166)*(-1),IF($C166="SELL",($D166*$E166)-$F166-$G166))</f>
        <v>-52111.28</v>
      </c>
    </row>
    <row r="167" spans="2:10" ht="11.25">
      <c r="B167" s="37" t="s">
        <v>199</v>
      </c>
      <c r="C167" s="3" t="s">
        <v>33</v>
      </c>
      <c r="D167" s="4">
        <v>100000</v>
      </c>
      <c r="E167" s="40">
        <v>0.25</v>
      </c>
      <c r="F167" s="5">
        <f>($D167*$E167)*0.002</f>
        <v>50</v>
      </c>
      <c r="G167" s="5">
        <f>$F167*0.07</f>
        <v>3.5000000000000004</v>
      </c>
      <c r="H167" s="5">
        <f>IF($C167="BUY",(($D167*$E167)+$F167+$G167)*(-1),IF($C167="SELL",($D167*$E167)-$F167-$G167))</f>
        <v>24946.5</v>
      </c>
      <c r="J167" s="18">
        <f>SUM(H166:H167,H169)</f>
        <v>-2218.279999999999</v>
      </c>
    </row>
    <row r="168" spans="1:8" ht="12" thickBot="1">
      <c r="A168" s="6"/>
      <c r="B168" s="42"/>
      <c r="C168" s="6"/>
      <c r="D168" s="7"/>
      <c r="E168" s="43"/>
      <c r="F168" s="8"/>
      <c r="G168" s="13" t="s">
        <v>14</v>
      </c>
      <c r="H168" s="13">
        <f>SUM(H166:H167)</f>
        <v>-27164.78</v>
      </c>
    </row>
    <row r="169" spans="1:8" ht="11.25">
      <c r="A169" s="3" t="s">
        <v>201</v>
      </c>
      <c r="B169" s="37" t="s">
        <v>199</v>
      </c>
      <c r="C169" s="3" t="s">
        <v>33</v>
      </c>
      <c r="D169" s="4">
        <v>100000</v>
      </c>
      <c r="E169" s="40">
        <v>0.25</v>
      </c>
      <c r="F169" s="5">
        <f>($D169*$E169)*0.002</f>
        <v>50</v>
      </c>
      <c r="G169" s="5">
        <f>$F169*0.07</f>
        <v>3.5000000000000004</v>
      </c>
      <c r="H169" s="5">
        <f>IF($C169="BUY",(($D169*$E169)+$F169+$G169)*(-1),IF($C169="SELL",($D169*$E169)-$F169-$G169))</f>
        <v>24946.5</v>
      </c>
    </row>
    <row r="170" spans="2:8" ht="11.25">
      <c r="B170" s="37" t="s">
        <v>202</v>
      </c>
      <c r="C170" s="3" t="s">
        <v>16</v>
      </c>
      <c r="D170" s="4">
        <v>2000</v>
      </c>
      <c r="E170" s="40">
        <v>36.75</v>
      </c>
      <c r="F170" s="5">
        <f>($D170*$E170)*0.002</f>
        <v>147</v>
      </c>
      <c r="G170" s="5">
        <f>$F170*0.07</f>
        <v>10.290000000000001</v>
      </c>
      <c r="H170" s="5">
        <f>IF($C170="BUY",(($D170*$E170)+$F170+$G170)*(-1),IF($C170="SELL",($D170*$E170)-$F170-$G170))</f>
        <v>-73657.29</v>
      </c>
    </row>
    <row r="171" spans="1:8" ht="12" thickBot="1">
      <c r="A171" s="6"/>
      <c r="B171" s="42"/>
      <c r="C171" s="6"/>
      <c r="D171" s="7"/>
      <c r="E171" s="43"/>
      <c r="F171" s="8"/>
      <c r="G171" s="13" t="s">
        <v>14</v>
      </c>
      <c r="H171" s="13">
        <f>SUM(H169:H170)</f>
        <v>-48710.78999999999</v>
      </c>
    </row>
    <row r="172" spans="1:10" ht="11.25">
      <c r="A172" s="3" t="s">
        <v>205</v>
      </c>
      <c r="B172" s="37" t="s">
        <v>204</v>
      </c>
      <c r="C172" s="3" t="s">
        <v>16</v>
      </c>
      <c r="D172" s="4">
        <v>2000</v>
      </c>
      <c r="E172" s="40">
        <v>32.5</v>
      </c>
      <c r="F172" s="5">
        <f>($D172*$E172)*0.002</f>
        <v>130</v>
      </c>
      <c r="G172" s="5">
        <f>$F172*0.07</f>
        <v>9.100000000000001</v>
      </c>
      <c r="H172" s="5">
        <f>IF($C172="BUY",(($D172*$E172)+$F172+$G172)*(-1),IF($C172="SELL",($D172*$E172)-$F172-$G172))</f>
        <v>-65139.1</v>
      </c>
      <c r="J172" s="10"/>
    </row>
    <row r="173" spans="2:8" ht="11.25">
      <c r="B173" s="37" t="s">
        <v>202</v>
      </c>
      <c r="C173" s="3" t="s">
        <v>33</v>
      </c>
      <c r="D173" s="4">
        <v>200</v>
      </c>
      <c r="E173" s="40">
        <v>32</v>
      </c>
      <c r="F173" s="5">
        <f>($D173*$E173)*0.002</f>
        <v>12.8</v>
      </c>
      <c r="G173" s="5">
        <f>$F173*0.07</f>
        <v>0.8960000000000001</v>
      </c>
      <c r="H173" s="5">
        <f>IF($C173="BUY",(($D173*$E173)+$F173+$G173)*(-1),IF($C173="SELL",($D173*$E173)-$F173-$G173))</f>
        <v>6386.304</v>
      </c>
    </row>
    <row r="174" spans="1:8" ht="12" thickBot="1">
      <c r="A174" s="6"/>
      <c r="B174" s="42"/>
      <c r="C174" s="6"/>
      <c r="D174" s="7"/>
      <c r="E174" s="43"/>
      <c r="F174" s="8"/>
      <c r="G174" s="13" t="s">
        <v>14</v>
      </c>
      <c r="H174" s="13">
        <f>SUM(H172:H173)</f>
        <v>-58752.796</v>
      </c>
    </row>
    <row r="175" spans="1:8" ht="11.25">
      <c r="A175" s="3" t="s">
        <v>207</v>
      </c>
      <c r="B175" s="37" t="s">
        <v>202</v>
      </c>
      <c r="C175" s="3" t="s">
        <v>33</v>
      </c>
      <c r="D175" s="4">
        <v>1000</v>
      </c>
      <c r="E175" s="40">
        <v>33</v>
      </c>
      <c r="F175" s="5">
        <f>($D175*$E175)*0.002</f>
        <v>66</v>
      </c>
      <c r="G175" s="5">
        <f>$F175*0.07</f>
        <v>4.62</v>
      </c>
      <c r="H175" s="5">
        <f>IF($C175="BUY",(($D175*$E175)+$F175+$G175)*(-1),IF($C175="SELL",($D175*$E175)-$F175-$G175))</f>
        <v>32929.38</v>
      </c>
    </row>
    <row r="176" spans="1:8" ht="12" thickBot="1">
      <c r="A176" s="6"/>
      <c r="B176" s="42"/>
      <c r="C176" s="6"/>
      <c r="D176" s="7"/>
      <c r="E176" s="43"/>
      <c r="F176" s="8"/>
      <c r="G176" s="14" t="s">
        <v>34</v>
      </c>
      <c r="H176" s="14">
        <f>H175</f>
        <v>32929.38</v>
      </c>
    </row>
    <row r="177" spans="1:8" ht="11.25">
      <c r="A177" s="3" t="s">
        <v>211</v>
      </c>
      <c r="B177" s="37" t="s">
        <v>202</v>
      </c>
      <c r="C177" s="3" t="s">
        <v>16</v>
      </c>
      <c r="D177" s="4">
        <v>100</v>
      </c>
      <c r="E177" s="40">
        <v>31.5</v>
      </c>
      <c r="F177" s="5">
        <f>($D177*$E177)*0.002</f>
        <v>6.3</v>
      </c>
      <c r="G177" s="5">
        <f>$F177*0.07</f>
        <v>0.441</v>
      </c>
      <c r="H177" s="5">
        <f>IF($C177="BUY",(($D177*$E177)+$F177+$G177)*(-1),IF($C177="SELL",($D177*$E177)-$F177-$G177))</f>
        <v>-3156.741</v>
      </c>
    </row>
    <row r="178" spans="2:10" ht="11.25">
      <c r="B178" s="37" t="s">
        <v>202</v>
      </c>
      <c r="C178" s="3" t="s">
        <v>16</v>
      </c>
      <c r="D178" s="4">
        <v>1500</v>
      </c>
      <c r="E178" s="40">
        <v>30.25</v>
      </c>
      <c r="F178" s="5">
        <f>($D178*$E178)*0.002</f>
        <v>90.75</v>
      </c>
      <c r="G178" s="5">
        <f>$F178*0.07</f>
        <v>6.352500000000001</v>
      </c>
      <c r="H178" s="5">
        <f>IF($C178="BUY",(($D178*$E178)+$F178+$G178)*(-1),IF($C178="SELL",($D178*$E178)-$F178-$G178))</f>
        <v>-45472.1025</v>
      </c>
      <c r="J178" s="26"/>
    </row>
    <row r="179" spans="2:10" ht="11.25">
      <c r="B179" s="37" t="s">
        <v>202</v>
      </c>
      <c r="C179" s="3" t="s">
        <v>33</v>
      </c>
      <c r="D179" s="4">
        <v>1500</v>
      </c>
      <c r="E179" s="40">
        <v>30.5</v>
      </c>
      <c r="F179" s="5">
        <f>($D179*$E179)*0.002</f>
        <v>91.5</v>
      </c>
      <c r="G179" s="5">
        <f>$F179*0.07</f>
        <v>6.405</v>
      </c>
      <c r="H179" s="5">
        <f>IF($C179="BUY",(($D179*$E179)+$F179+$G179)*(-1),IF($C179="SELL",($D179*$E179)-$F179-$G179))</f>
        <v>45652.095</v>
      </c>
      <c r="J179" s="27">
        <f>SUM(H178:H179)</f>
        <v>179.9925000000003</v>
      </c>
    </row>
    <row r="180" spans="2:8" ht="11.25">
      <c r="B180" s="37" t="s">
        <v>202</v>
      </c>
      <c r="C180" s="3" t="s">
        <v>16</v>
      </c>
      <c r="D180" s="4">
        <v>1500</v>
      </c>
      <c r="E180" s="40">
        <v>30.25</v>
      </c>
      <c r="F180" s="5">
        <f>($D180*$E180)*0.002</f>
        <v>90.75</v>
      </c>
      <c r="G180" s="5">
        <f>$F180*0.07</f>
        <v>6.352500000000001</v>
      </c>
      <c r="H180" s="5">
        <f>IF($C180="BUY",(($D180*$E180)+$F180+$G180)*(-1),IF($C180="SELL",($D180*$E180)-$F180-$G180))</f>
        <v>-45472.1025</v>
      </c>
    </row>
    <row r="181" spans="2:8" ht="11.25">
      <c r="B181" s="37" t="s">
        <v>202</v>
      </c>
      <c r="C181" s="3" t="s">
        <v>33</v>
      </c>
      <c r="D181" s="4">
        <v>500</v>
      </c>
      <c r="E181" s="40">
        <v>29.5</v>
      </c>
      <c r="F181" s="5">
        <f>($D181*$E181)*0.002</f>
        <v>29.5</v>
      </c>
      <c r="G181" s="5">
        <f>$F181*0.07</f>
        <v>2.0650000000000004</v>
      </c>
      <c r="H181" s="5">
        <f>IF($C181="BUY",(($D181*$E181)+$F181+$G181)*(-1),IF($C181="SELL",($D181*$E181)-$F181-$G181))</f>
        <v>14718.435</v>
      </c>
    </row>
    <row r="182" spans="1:8" ht="12" thickBot="1">
      <c r="A182" s="6"/>
      <c r="B182" s="42"/>
      <c r="C182" s="6"/>
      <c r="D182" s="7"/>
      <c r="E182" s="43"/>
      <c r="F182" s="8"/>
      <c r="G182" s="13" t="s">
        <v>14</v>
      </c>
      <c r="H182" s="13">
        <f>SUM(H177:H181)</f>
        <v>-33730.416000000005</v>
      </c>
    </row>
    <row r="183" spans="1:8" ht="11.25">
      <c r="A183" s="3" t="s">
        <v>215</v>
      </c>
      <c r="B183" s="37" t="s">
        <v>202</v>
      </c>
      <c r="C183" s="3" t="s">
        <v>33</v>
      </c>
      <c r="D183" s="4">
        <v>1500</v>
      </c>
      <c r="E183" s="40">
        <v>30.75</v>
      </c>
      <c r="F183" s="5">
        <f>($D183*$E183)*0.002</f>
        <v>92.25</v>
      </c>
      <c r="G183" s="5">
        <f>$F183*0.07</f>
        <v>6.4575000000000005</v>
      </c>
      <c r="H183" s="5">
        <f>IF($C183="BUY",(($D183*$E183)+$F183+$G183)*(-1),IF($C183="SELL",($D183*$E183)-$F183-$G183))</f>
        <v>46026.2925</v>
      </c>
    </row>
    <row r="184" spans="2:8" ht="11.25">
      <c r="B184" s="37" t="s">
        <v>202</v>
      </c>
      <c r="C184" s="3" t="s">
        <v>16</v>
      </c>
      <c r="D184" s="4">
        <v>1000</v>
      </c>
      <c r="E184" s="40">
        <v>30.5</v>
      </c>
      <c r="F184" s="5">
        <f>($D184*$E184)*0.002</f>
        <v>61</v>
      </c>
      <c r="G184" s="5">
        <f>$F184*0.07</f>
        <v>4.2700000000000005</v>
      </c>
      <c r="H184" s="5">
        <f>IF($C184="BUY",(($D184*$E184)+$F184+$G184)*(-1),IF($C184="SELL",($D184*$E184)-$F184-$G184))</f>
        <v>-30565.27</v>
      </c>
    </row>
    <row r="185" spans="1:8" ht="12" thickBot="1">
      <c r="A185" s="6"/>
      <c r="B185" s="42"/>
      <c r="C185" s="6"/>
      <c r="D185" s="7"/>
      <c r="E185" s="43"/>
      <c r="F185" s="8"/>
      <c r="G185" s="14" t="s">
        <v>34</v>
      </c>
      <c r="H185" s="14">
        <f>SUM(H183:H184)</f>
        <v>15461.022500000003</v>
      </c>
    </row>
    <row r="186" spans="1:8" ht="11.25">
      <c r="A186" s="3" t="s">
        <v>218</v>
      </c>
      <c r="B186" s="37" t="s">
        <v>202</v>
      </c>
      <c r="C186" s="3" t="s">
        <v>33</v>
      </c>
      <c r="D186" s="4">
        <v>1400</v>
      </c>
      <c r="E186" s="40">
        <v>32</v>
      </c>
      <c r="F186" s="5">
        <f>($D186*$E186)*0.002</f>
        <v>89.60000000000001</v>
      </c>
      <c r="G186" s="5">
        <f>$F186*0.07</f>
        <v>6.272000000000001</v>
      </c>
      <c r="H186" s="5">
        <f>IF($C186="BUY",(($D186*$E186)+$F186+$G186)*(-1),IF($C186="SELL",($D186*$E186)-$F186-$G186))</f>
        <v>44704.128000000004</v>
      </c>
    </row>
    <row r="187" spans="2:8" ht="11.25">
      <c r="B187" s="37" t="s">
        <v>202</v>
      </c>
      <c r="C187" s="3" t="s">
        <v>16</v>
      </c>
      <c r="D187" s="4">
        <v>1000</v>
      </c>
      <c r="E187" s="40">
        <v>31.75</v>
      </c>
      <c r="F187" s="5">
        <f>($D187*$E187)*0.002</f>
        <v>63.5</v>
      </c>
      <c r="G187" s="5">
        <f>$F187*0.07</f>
        <v>4.445</v>
      </c>
      <c r="H187" s="5">
        <f>IF($C187="BUY",(($D187*$E187)+$F187+$G187)*(-1),IF($C187="SELL",($D187*$E187)-$F187-$G187))</f>
        <v>-31817.945</v>
      </c>
    </row>
    <row r="188" spans="1:8" ht="12" thickBot="1">
      <c r="A188" s="6"/>
      <c r="B188" s="42"/>
      <c r="C188" s="6"/>
      <c r="D188" s="7"/>
      <c r="E188" s="43"/>
      <c r="F188" s="8"/>
      <c r="G188" s="14" t="s">
        <v>34</v>
      </c>
      <c r="H188" s="14">
        <f>SUM(H186:H187)</f>
        <v>12886.183000000005</v>
      </c>
    </row>
    <row r="189" spans="1:8" ht="11.25">
      <c r="A189" s="28" t="s">
        <v>220</v>
      </c>
      <c r="B189" s="126" t="s">
        <v>202</v>
      </c>
      <c r="C189" s="28" t="s">
        <v>16</v>
      </c>
      <c r="D189" s="29">
        <v>500</v>
      </c>
      <c r="E189" s="130">
        <v>31.75</v>
      </c>
      <c r="F189" s="30">
        <v>50</v>
      </c>
      <c r="G189" s="30">
        <f>$F189*0.07</f>
        <v>3.5000000000000004</v>
      </c>
      <c r="H189" s="30">
        <f>IF($C189="BUY",(($D189*$E189)+$F189+$G189)*(-1),IF($C189="SELL",($D189*$E189)-$F189-$G189))</f>
        <v>-15928.5</v>
      </c>
    </row>
    <row r="190" spans="1:8" ht="12" thickBot="1">
      <c r="A190" s="6"/>
      <c r="B190" s="42"/>
      <c r="C190" s="6"/>
      <c r="D190" s="7"/>
      <c r="E190" s="43"/>
      <c r="F190" s="8"/>
      <c r="G190" s="13" t="s">
        <v>14</v>
      </c>
      <c r="H190" s="13">
        <f>H189</f>
        <v>-15928.5</v>
      </c>
    </row>
    <row r="191" spans="1:8" ht="11.25">
      <c r="A191" s="3" t="s">
        <v>222</v>
      </c>
      <c r="B191" s="37" t="s">
        <v>223</v>
      </c>
      <c r="C191" s="3" t="s">
        <v>16</v>
      </c>
      <c r="D191" s="4">
        <v>1500</v>
      </c>
      <c r="E191" s="40">
        <v>22.4</v>
      </c>
      <c r="F191" s="5">
        <f>($D191*$E191)*0.002</f>
        <v>67.2</v>
      </c>
      <c r="G191" s="5">
        <f>$F191*0.07</f>
        <v>4.704000000000001</v>
      </c>
      <c r="H191" s="5">
        <f>IF($C191="BUY",(($D191*$E191)+$F191+$G191)*(-1),IF($C191="SELL",($D191*$E191)-$F191-$G191))</f>
        <v>-33671.903999999995</v>
      </c>
    </row>
    <row r="192" spans="2:8" ht="11.25">
      <c r="B192" s="37" t="s">
        <v>202</v>
      </c>
      <c r="C192" s="3" t="s">
        <v>33</v>
      </c>
      <c r="D192" s="4">
        <v>500</v>
      </c>
      <c r="E192" s="40">
        <v>31.25</v>
      </c>
      <c r="F192" s="5">
        <f>($D192*$E192)*0.002</f>
        <v>31.25</v>
      </c>
      <c r="G192" s="5">
        <f>$F192*0.07</f>
        <v>2.1875</v>
      </c>
      <c r="H192" s="5">
        <f>IF($C192="BUY",(($D192*$E192)+$F192+$G192)*(-1),IF($C192="SELL",($D192*$E192)-$F192-$G192))</f>
        <v>15591.5625</v>
      </c>
    </row>
    <row r="193" spans="1:8" ht="12" thickBot="1">
      <c r="A193" s="6"/>
      <c r="B193" s="42"/>
      <c r="C193" s="6"/>
      <c r="D193" s="7"/>
      <c r="E193" s="43"/>
      <c r="F193" s="8"/>
      <c r="G193" s="13" t="s">
        <v>14</v>
      </c>
      <c r="H193" s="13">
        <f>SUM(H191:H192)</f>
        <v>-18080.341499999995</v>
      </c>
    </row>
    <row r="194" spans="1:8" ht="11.25">
      <c r="A194" s="3" t="s">
        <v>237</v>
      </c>
      <c r="B194" s="37" t="s">
        <v>202</v>
      </c>
      <c r="C194" s="3" t="s">
        <v>33</v>
      </c>
      <c r="D194" s="4">
        <v>2000</v>
      </c>
      <c r="E194" s="40">
        <v>31.25</v>
      </c>
      <c r="F194" s="5">
        <f>($D194*$E194)*0.002</f>
        <v>125</v>
      </c>
      <c r="G194" s="5">
        <f>$F194*0.07</f>
        <v>8.75</v>
      </c>
      <c r="H194" s="5">
        <f>IF($C194="BUY",(($D194*$E194)+$F194+$G194)*(-1),IF($C194="SELL",($D194*$E194)-$F194-$G194))</f>
        <v>62366.25</v>
      </c>
    </row>
    <row r="195" spans="1:8" ht="12" thickBot="1">
      <c r="A195" s="6"/>
      <c r="B195" s="42"/>
      <c r="C195" s="6"/>
      <c r="D195" s="7"/>
      <c r="E195" s="43"/>
      <c r="F195" s="8"/>
      <c r="G195" s="14" t="s">
        <v>34</v>
      </c>
      <c r="H195" s="14">
        <f>H194</f>
        <v>62366.25</v>
      </c>
    </row>
    <row r="196" spans="1:10" ht="11.25">
      <c r="A196" s="28" t="s">
        <v>238</v>
      </c>
      <c r="B196" s="126" t="s">
        <v>202</v>
      </c>
      <c r="C196" s="28" t="s">
        <v>33</v>
      </c>
      <c r="D196" s="29">
        <v>1000</v>
      </c>
      <c r="E196" s="130">
        <v>32</v>
      </c>
      <c r="F196" s="30">
        <f>($D196*$E196)*0.002</f>
        <v>64</v>
      </c>
      <c r="G196" s="30">
        <f>$F196*0.07</f>
        <v>4.48</v>
      </c>
      <c r="H196" s="30">
        <f>IF($C196="BUY",(($D196*$E196)+$F196+$G196)*(-1),IF($C196="SELL",($D196*$E196)-$F196-$G196))</f>
        <v>31931.52</v>
      </c>
      <c r="J196" s="18">
        <f>SUM(H196,H194,H192,H189,H186:H187,H183:H184,H180:H181,H177,H175,H172:H173,H170,)</f>
        <v>-11083.076499999981</v>
      </c>
    </row>
    <row r="197" spans="2:8" ht="11.25">
      <c r="B197" s="37" t="s">
        <v>232</v>
      </c>
      <c r="C197" s="3" t="s">
        <v>16</v>
      </c>
      <c r="D197" s="4">
        <v>100</v>
      </c>
      <c r="E197" s="40">
        <v>120</v>
      </c>
      <c r="F197" s="5">
        <f>($D197*$E197)*0.002</f>
        <v>24</v>
      </c>
      <c r="G197" s="5">
        <f>$F197*0.07</f>
        <v>1.6800000000000002</v>
      </c>
      <c r="H197" s="5">
        <f>IF($C197="BUY",(($D197*$E197)+$F197+$G197)*(-1),IF($C197="SELL",($D197*$E197)-$F197-$G197))</f>
        <v>-12025.68</v>
      </c>
    </row>
    <row r="198" spans="1:8" ht="12" thickBot="1">
      <c r="A198" s="6"/>
      <c r="B198" s="42"/>
      <c r="C198" s="6"/>
      <c r="D198" s="7"/>
      <c r="E198" s="43"/>
      <c r="F198" s="8"/>
      <c r="G198" s="14" t="s">
        <v>34</v>
      </c>
      <c r="H198" s="14">
        <f>SUM(H196:H197)</f>
        <v>19905.84</v>
      </c>
    </row>
    <row r="199" spans="1:8" ht="11.25">
      <c r="A199" s="3" t="s">
        <v>239</v>
      </c>
      <c r="B199" s="37" t="s">
        <v>223</v>
      </c>
      <c r="C199" s="3" t="s">
        <v>16</v>
      </c>
      <c r="D199" s="4">
        <v>1000</v>
      </c>
      <c r="E199" s="40">
        <v>21</v>
      </c>
      <c r="F199" s="5">
        <f>($D199*$E199)*0.002</f>
        <v>42</v>
      </c>
      <c r="G199" s="5">
        <f>$F199*0.07</f>
        <v>2.9400000000000004</v>
      </c>
      <c r="H199" s="5">
        <f>IF($C199="BUY",(($D199*$E199)+$F199+$G199)*(-1),IF($C199="SELL",($D199*$E199)-$F199-$G199))</f>
        <v>-21044.94</v>
      </c>
    </row>
    <row r="200" spans="2:10" ht="11.25">
      <c r="B200" s="37" t="s">
        <v>232</v>
      </c>
      <c r="C200" s="3" t="s">
        <v>33</v>
      </c>
      <c r="D200" s="4">
        <v>100</v>
      </c>
      <c r="E200" s="40">
        <v>121</v>
      </c>
      <c r="F200" s="5">
        <f>($D200*$E200)*0.002</f>
        <v>24.2</v>
      </c>
      <c r="G200" s="5">
        <f>$F200*0.07</f>
        <v>1.6940000000000002</v>
      </c>
      <c r="H200" s="5">
        <f>IF($C200="BUY",(($D200*$E200)+$F200+$G200)*(-1),IF($C200="SELL",($D200*$E200)-$F200-$G200))</f>
        <v>12074.106</v>
      </c>
      <c r="J200" s="27">
        <f>SUM(H197,H200)</f>
        <v>48.425999999999476</v>
      </c>
    </row>
    <row r="201" spans="2:8" ht="11.25">
      <c r="B201" s="37" t="s">
        <v>234</v>
      </c>
      <c r="C201" s="3" t="s">
        <v>16</v>
      </c>
      <c r="D201" s="4">
        <v>1000</v>
      </c>
      <c r="E201" s="40">
        <v>30.75</v>
      </c>
      <c r="F201" s="5">
        <f>($D201*$E201)*0.002</f>
        <v>61.5</v>
      </c>
      <c r="G201" s="5">
        <f>$F201*0.07</f>
        <v>4.305000000000001</v>
      </c>
      <c r="H201" s="5">
        <f>IF($C201="BUY",(($D201*$E201)+$F201+$G201)*(-1),IF($C201="SELL",($D201*$E201)-$F201-$G201))</f>
        <v>-30815.805</v>
      </c>
    </row>
    <row r="202" spans="1:8" ht="12" thickBot="1">
      <c r="A202" s="6"/>
      <c r="B202" s="42"/>
      <c r="C202" s="6"/>
      <c r="D202" s="7"/>
      <c r="E202" s="43"/>
      <c r="F202" s="8"/>
      <c r="G202" s="13" t="s">
        <v>14</v>
      </c>
      <c r="H202" s="13">
        <f>SUM(H199:H201)</f>
        <v>-39786.638999999996</v>
      </c>
    </row>
    <row r="203" spans="1:8" ht="11.25">
      <c r="A203" s="3" t="s">
        <v>240</v>
      </c>
      <c r="B203" s="37" t="s">
        <v>223</v>
      </c>
      <c r="C203" s="3" t="s">
        <v>33</v>
      </c>
      <c r="D203" s="4">
        <v>500</v>
      </c>
      <c r="E203" s="40">
        <v>20.6</v>
      </c>
      <c r="F203" s="5">
        <v>50</v>
      </c>
      <c r="G203" s="5">
        <f>$F203*0.07</f>
        <v>3.5000000000000004</v>
      </c>
      <c r="H203" s="5">
        <f>IF($C203="BUY",(($D203*$E203)+$F203+$G203)*(-1),IF($C203="SELL",($D203*$E203)-$F203-$G203))</f>
        <v>10246.5</v>
      </c>
    </row>
    <row r="204" spans="1:8" ht="12" thickBot="1">
      <c r="A204" s="6"/>
      <c r="B204" s="42"/>
      <c r="C204" s="6"/>
      <c r="D204" s="7"/>
      <c r="E204" s="43"/>
      <c r="F204" s="8"/>
      <c r="G204" s="14" t="s">
        <v>34</v>
      </c>
      <c r="H204" s="14">
        <f>H203</f>
        <v>10246.5</v>
      </c>
    </row>
    <row r="205" spans="1:8" ht="11.25">
      <c r="A205" s="3" t="s">
        <v>243</v>
      </c>
      <c r="B205" s="37" t="s">
        <v>241</v>
      </c>
      <c r="C205" s="3" t="s">
        <v>16</v>
      </c>
      <c r="D205" s="4">
        <v>100</v>
      </c>
      <c r="E205" s="40">
        <v>121</v>
      </c>
      <c r="F205" s="5">
        <f>($D205*$E205)*0.002</f>
        <v>24.2</v>
      </c>
      <c r="G205" s="5">
        <f>$F205*0.07</f>
        <v>1.6940000000000002</v>
      </c>
      <c r="H205" s="5">
        <f>IF($C205="BUY",(($D205*$E205)+$F205+$G205)*(-1),IF($C205="SELL",($D205*$E205)-$F205-$G205))</f>
        <v>-12125.894</v>
      </c>
    </row>
    <row r="206" spans="2:8" ht="11.25">
      <c r="B206" s="37" t="s">
        <v>242</v>
      </c>
      <c r="C206" s="3" t="s">
        <v>16</v>
      </c>
      <c r="D206" s="4">
        <v>1000</v>
      </c>
      <c r="E206" s="40">
        <v>35.75</v>
      </c>
      <c r="F206" s="5">
        <f>($D206*$E206)*0.002</f>
        <v>71.5</v>
      </c>
      <c r="G206" s="5">
        <f>$F206*0.07</f>
        <v>5.005000000000001</v>
      </c>
      <c r="H206" s="5">
        <f>IF($C206="BUY",(($D206*$E206)+$F206+$G206)*(-1),IF($C206="SELL",($D206*$E206)-$F206-$G206))</f>
        <v>-35826.505</v>
      </c>
    </row>
    <row r="207" spans="1:8" ht="12" thickBot="1">
      <c r="A207" s="6"/>
      <c r="B207" s="42"/>
      <c r="C207" s="6"/>
      <c r="D207" s="7"/>
      <c r="E207" s="43"/>
      <c r="F207" s="8"/>
      <c r="G207" s="13" t="s">
        <v>14</v>
      </c>
      <c r="H207" s="13">
        <f>SUM(H205:H206)</f>
        <v>-47952.399</v>
      </c>
    </row>
    <row r="208" spans="1:10" ht="11.25">
      <c r="A208" s="3" t="s">
        <v>247</v>
      </c>
      <c r="B208" s="37" t="s">
        <v>242</v>
      </c>
      <c r="C208" s="3" t="s">
        <v>33</v>
      </c>
      <c r="D208" s="4">
        <v>1000</v>
      </c>
      <c r="E208" s="40">
        <v>36.25</v>
      </c>
      <c r="F208" s="5">
        <f>($D208*$E208)*0.002</f>
        <v>72.5</v>
      </c>
      <c r="G208" s="5">
        <f>$F208*0.07</f>
        <v>5.075</v>
      </c>
      <c r="H208" s="5">
        <f>IF($C208="BUY",(($D208*$E208)+$F208+$G208)*(-1),IF($C208="SELL",($D208*$E208)-$F208-$G208))</f>
        <v>36172.425</v>
      </c>
      <c r="J208" s="11">
        <f>SUM(H206,H208)</f>
        <v>345.92000000000553</v>
      </c>
    </row>
    <row r="209" spans="1:8" ht="12" thickBot="1">
      <c r="A209" s="6"/>
      <c r="B209" s="42"/>
      <c r="C209" s="6"/>
      <c r="D209" s="7"/>
      <c r="E209" s="43"/>
      <c r="F209" s="8"/>
      <c r="G209" s="14" t="s">
        <v>34</v>
      </c>
      <c r="H209" s="14">
        <f>H208</f>
        <v>36172.425</v>
      </c>
    </row>
    <row r="210" spans="1:10" ht="11.25">
      <c r="A210" s="3" t="s">
        <v>248</v>
      </c>
      <c r="B210" s="37" t="s">
        <v>241</v>
      </c>
      <c r="C210" s="3" t="s">
        <v>33</v>
      </c>
      <c r="D210" s="4">
        <v>100</v>
      </c>
      <c r="E210" s="40">
        <v>124</v>
      </c>
      <c r="F210" s="5">
        <f>($D210*$E210)*0.002</f>
        <v>24.8</v>
      </c>
      <c r="G210" s="5">
        <f>$F210*0.07</f>
        <v>1.7360000000000002</v>
      </c>
      <c r="H210" s="5">
        <f>IF($C210="BUY",(($D210*$E210)+$F210+$G210)*(-1),IF($C210="SELL",($D210*$E210)-$F210-$G210))</f>
        <v>12373.464</v>
      </c>
      <c r="J210" s="11">
        <f>SUM(H205,H210)</f>
        <v>247.5699999999997</v>
      </c>
    </row>
    <row r="211" spans="2:8" ht="11.25">
      <c r="B211" s="37" t="s">
        <v>242</v>
      </c>
      <c r="C211" s="3" t="s">
        <v>16</v>
      </c>
      <c r="D211" s="4">
        <v>1000</v>
      </c>
      <c r="E211" s="40">
        <v>35.75</v>
      </c>
      <c r="F211" s="5">
        <f>($D211*$E211)*0.002</f>
        <v>71.5</v>
      </c>
      <c r="G211" s="5">
        <f>$F211*0.07</f>
        <v>5.005000000000001</v>
      </c>
      <c r="H211" s="5">
        <f>IF($C211="BUY",(($D211*$E211)+$F211+$G211)*(-1),IF($C211="SELL",($D211*$E211)-$F211-$G211))</f>
        <v>-35826.505</v>
      </c>
    </row>
    <row r="212" spans="1:8" ht="12" thickBot="1">
      <c r="A212" s="6"/>
      <c r="B212" s="42"/>
      <c r="C212" s="6"/>
      <c r="D212" s="7"/>
      <c r="E212" s="43"/>
      <c r="F212" s="8"/>
      <c r="G212" s="13" t="s">
        <v>14</v>
      </c>
      <c r="H212" s="13">
        <f>SUM(H210:H211)</f>
        <v>-23453.040999999997</v>
      </c>
    </row>
    <row r="213" spans="1:10" ht="11.25">
      <c r="A213" s="3" t="s">
        <v>250</v>
      </c>
      <c r="B213" s="37" t="s">
        <v>242</v>
      </c>
      <c r="C213" s="3" t="s">
        <v>33</v>
      </c>
      <c r="D213" s="4">
        <v>1000</v>
      </c>
      <c r="E213" s="40">
        <v>36.5</v>
      </c>
      <c r="F213" s="5">
        <f>($D213*$E213)*0.002</f>
        <v>73</v>
      </c>
      <c r="G213" s="5">
        <f>$F213*0.07</f>
        <v>5.11</v>
      </c>
      <c r="H213" s="5">
        <f>IF($C213="BUY",(($D213*$E213)+$F213+$G213)*(-1),IF($C213="SELL",($D213*$E213)-$F213-$G213))</f>
        <v>36421.89</v>
      </c>
      <c r="J213" s="11">
        <f>SUM(H211,H213)</f>
        <v>595.385000000002</v>
      </c>
    </row>
    <row r="214" spans="1:8" ht="12" thickBot="1">
      <c r="A214" s="6"/>
      <c r="B214" s="42"/>
      <c r="C214" s="6"/>
      <c r="D214" s="7"/>
      <c r="E214" s="43"/>
      <c r="F214" s="8"/>
      <c r="G214" s="14" t="s">
        <v>34</v>
      </c>
      <c r="H214" s="14">
        <f>H213</f>
        <v>36421.89</v>
      </c>
    </row>
    <row r="215" spans="1:10" ht="11.25">
      <c r="A215" s="3" t="s">
        <v>252</v>
      </c>
      <c r="B215" s="37" t="s">
        <v>234</v>
      </c>
      <c r="C215" s="3" t="s">
        <v>33</v>
      </c>
      <c r="D215" s="4">
        <v>1000</v>
      </c>
      <c r="E215" s="40">
        <v>32.25</v>
      </c>
      <c r="F215" s="5">
        <f>($D215*$E215)*0.002</f>
        <v>64.5</v>
      </c>
      <c r="G215" s="5">
        <f>$F215*0.07</f>
        <v>4.515000000000001</v>
      </c>
      <c r="H215" s="5">
        <f>IF($C215="BUY",(($D215*$E215)+$F215+$G215)*(-1),IF($C215="SELL",($D215*$E215)-$F215-$G215))</f>
        <v>32180.985</v>
      </c>
      <c r="J215" s="11">
        <f>SUM(H201,H215)</f>
        <v>1365.1800000000003</v>
      </c>
    </row>
    <row r="216" spans="2:10" ht="11.25">
      <c r="B216" s="37" t="s">
        <v>253</v>
      </c>
      <c r="C216" s="3" t="s">
        <v>16</v>
      </c>
      <c r="D216" s="4">
        <v>1000</v>
      </c>
      <c r="E216" s="40">
        <v>11.9</v>
      </c>
      <c r="F216" s="5">
        <f>($D216*$E216)*0.002</f>
        <v>23.8</v>
      </c>
      <c r="G216" s="5">
        <f>$F216*0.07</f>
        <v>1.6660000000000001</v>
      </c>
      <c r="H216" s="5">
        <f>IF($C216="BUY",(($D216*$E216)+$F216+$G216)*(-1),IF($C216="SELL",($D216*$E216)-$F216-$G216))</f>
        <v>-11925.465999999999</v>
      </c>
      <c r="J216" s="10"/>
    </row>
    <row r="217" spans="2:8" ht="11.25">
      <c r="B217" s="37" t="s">
        <v>254</v>
      </c>
      <c r="C217" s="3" t="s">
        <v>16</v>
      </c>
      <c r="D217" s="4">
        <v>1000</v>
      </c>
      <c r="E217" s="40">
        <v>30.5</v>
      </c>
      <c r="F217" s="5">
        <f>($D217*$E217)*0.002</f>
        <v>61</v>
      </c>
      <c r="G217" s="5">
        <f>$F217*0.07</f>
        <v>4.2700000000000005</v>
      </c>
      <c r="H217" s="5">
        <f>IF($C217="BUY",(($D217*$E217)+$F217+$G217)*(-1),IF($C217="SELL",($D217*$E217)-$F217-$G217))</f>
        <v>-30565.27</v>
      </c>
    </row>
    <row r="218" spans="2:8" ht="11.25">
      <c r="B218" s="37" t="s">
        <v>223</v>
      </c>
      <c r="C218" s="3" t="s">
        <v>33</v>
      </c>
      <c r="D218" s="4">
        <v>500</v>
      </c>
      <c r="E218" s="40">
        <v>21.2</v>
      </c>
      <c r="F218" s="5">
        <f>($D218*$E218)*0.002</f>
        <v>21.2</v>
      </c>
      <c r="G218" s="5">
        <f>$F218*0.07</f>
        <v>1.484</v>
      </c>
      <c r="H218" s="5">
        <f>IF($C218="BUY",(($D218*$E218)+$F218+$G218)*(-1),IF($C218="SELL",($D218*$E218)-$F218-$G218))</f>
        <v>10577.315999999999</v>
      </c>
    </row>
    <row r="219" spans="2:8" ht="11.25">
      <c r="B219" s="37" t="s">
        <v>255</v>
      </c>
      <c r="C219" s="3" t="s">
        <v>16</v>
      </c>
      <c r="D219" s="4">
        <v>100</v>
      </c>
      <c r="E219" s="40">
        <v>82</v>
      </c>
      <c r="F219" s="5">
        <f>($D219*$E219)*0.002</f>
        <v>16.4</v>
      </c>
      <c r="G219" s="5">
        <f>$F219*0.07</f>
        <v>1.148</v>
      </c>
      <c r="H219" s="5">
        <f>IF($C219="BUY",(($D219*$E219)+$F219+$G219)*(-1),IF($C219="SELL",($D219*$E219)-$F219-$G219))</f>
        <v>-8217.547999999999</v>
      </c>
    </row>
    <row r="220" spans="1:8" ht="12" thickBot="1">
      <c r="A220" s="6"/>
      <c r="B220" s="42"/>
      <c r="C220" s="6"/>
      <c r="D220" s="7"/>
      <c r="E220" s="43"/>
      <c r="F220" s="8"/>
      <c r="G220" s="13" t="s">
        <v>14</v>
      </c>
      <c r="H220" s="13">
        <f>SUM(H215:H219)</f>
        <v>-7949.983</v>
      </c>
    </row>
    <row r="221" spans="1:10" ht="11.25">
      <c r="A221" s="3" t="s">
        <v>257</v>
      </c>
      <c r="B221" s="37" t="s">
        <v>254</v>
      </c>
      <c r="C221" s="3" t="s">
        <v>33</v>
      </c>
      <c r="D221" s="4">
        <v>1000</v>
      </c>
      <c r="E221" s="40">
        <v>31</v>
      </c>
      <c r="F221" s="5">
        <f>($D221*$E221)*0.002</f>
        <v>62</v>
      </c>
      <c r="G221" s="5">
        <f>$F221*0.07</f>
        <v>4.340000000000001</v>
      </c>
      <c r="H221" s="5">
        <f>IF($C221="BUY",(($D221*$E221)+$F221+$G221)*(-1),IF($C221="SELL",($D221*$E221)-$F221-$G221))</f>
        <v>30933.66</v>
      </c>
      <c r="J221" s="11"/>
    </row>
    <row r="222" spans="2:8" ht="11.25">
      <c r="B222" s="37" t="s">
        <v>241</v>
      </c>
      <c r="C222" s="3" t="s">
        <v>16</v>
      </c>
      <c r="D222" s="4">
        <v>100</v>
      </c>
      <c r="E222" s="40">
        <v>121</v>
      </c>
      <c r="F222" s="5">
        <f>($D222*$E222)*0.002</f>
        <v>24.2</v>
      </c>
      <c r="G222" s="5">
        <f>$F222*0.07</f>
        <v>1.6940000000000002</v>
      </c>
      <c r="H222" s="5">
        <f>IF($C222="BUY",(($D222*$E222)+$F222+$G222)*(-1),IF($C222="SELL",($D222*$E222)-$F222-$G222))</f>
        <v>-12125.894</v>
      </c>
    </row>
    <row r="223" spans="2:8" ht="11.25">
      <c r="B223" s="37" t="s">
        <v>153</v>
      </c>
      <c r="C223" s="3" t="s">
        <v>16</v>
      </c>
      <c r="D223" s="4">
        <v>1000</v>
      </c>
      <c r="E223" s="40">
        <v>9.1</v>
      </c>
      <c r="F223" s="5">
        <f>($D223*$E223)*0.002</f>
        <v>18.2</v>
      </c>
      <c r="G223" s="5">
        <f>$F223*0.07</f>
        <v>1.274</v>
      </c>
      <c r="H223" s="5">
        <f>IF($C223="BUY",(($D223*$E223)+$F223+$G223)*(-1),IF($C223="SELL",($D223*$E223)-$F223-$G223))</f>
        <v>-9119.474</v>
      </c>
    </row>
    <row r="224" spans="2:8" ht="11.25">
      <c r="B224" s="37" t="s">
        <v>253</v>
      </c>
      <c r="C224" s="3" t="s">
        <v>16</v>
      </c>
      <c r="D224" s="4">
        <v>1000</v>
      </c>
      <c r="E224" s="40">
        <v>11.8</v>
      </c>
      <c r="F224" s="5">
        <f>($D224*$E224)*0.002</f>
        <v>23.6</v>
      </c>
      <c r="G224" s="5">
        <f>$F224*0.07</f>
        <v>1.6520000000000004</v>
      </c>
      <c r="H224" s="5">
        <f>IF($C224="BUY",(($D224*$E224)+$F224+$G224)*(-1),IF($C224="SELL",($D224*$E224)-$F224-$G224))</f>
        <v>-11825.252</v>
      </c>
    </row>
    <row r="225" spans="1:8" ht="12" thickBot="1">
      <c r="A225" s="6"/>
      <c r="B225" s="42"/>
      <c r="C225" s="6"/>
      <c r="D225" s="7"/>
      <c r="E225" s="43"/>
      <c r="F225" s="8"/>
      <c r="G225" s="13" t="s">
        <v>14</v>
      </c>
      <c r="H225" s="13">
        <f>SUM(H221:H224)</f>
        <v>-2136.960000000001</v>
      </c>
    </row>
    <row r="226" spans="1:10" ht="11.25">
      <c r="A226" s="3" t="s">
        <v>259</v>
      </c>
      <c r="B226" s="37" t="s">
        <v>153</v>
      </c>
      <c r="C226" s="3" t="s">
        <v>33</v>
      </c>
      <c r="D226" s="4">
        <v>1000</v>
      </c>
      <c r="E226" s="40">
        <v>9.6</v>
      </c>
      <c r="F226" s="5">
        <f>($D226*$E226)*0.002</f>
        <v>19.2</v>
      </c>
      <c r="G226" s="5">
        <f>$F226*0.07</f>
        <v>1.344</v>
      </c>
      <c r="H226" s="5">
        <f>IF($C226="BUY",(($D226*$E226)+$F226+$G226)*(-1),IF($C226="SELL",($D226*$E226)-$F226-$G226))</f>
        <v>9579.456</v>
      </c>
      <c r="J226" s="11">
        <f>SUM(H223,H226)</f>
        <v>459.98199999999997</v>
      </c>
    </row>
    <row r="227" spans="2:8" ht="11.25">
      <c r="B227" s="37" t="s">
        <v>241</v>
      </c>
      <c r="C227" s="3" t="s">
        <v>16</v>
      </c>
      <c r="D227" s="4">
        <v>100</v>
      </c>
      <c r="E227" s="40">
        <v>121</v>
      </c>
      <c r="F227" s="5">
        <f>($D227*$E227)*0.002</f>
        <v>24.2</v>
      </c>
      <c r="G227" s="5">
        <f>$F227*0.07</f>
        <v>1.6940000000000002</v>
      </c>
      <c r="H227" s="5">
        <f>IF($C227="BUY",(($D227*$E227)+$F227+$G227)*(-1),IF($C227="SELL",($D227*$E227)-$F227-$G227))</f>
        <v>-12125.894</v>
      </c>
    </row>
    <row r="228" spans="2:8" ht="11.25">
      <c r="B228" s="37" t="s">
        <v>254</v>
      </c>
      <c r="C228" s="3" t="s">
        <v>16</v>
      </c>
      <c r="D228" s="4">
        <v>1000</v>
      </c>
      <c r="E228" s="40">
        <v>30.75</v>
      </c>
      <c r="F228" s="5">
        <f>($D228*$E228)*0.002</f>
        <v>61.5</v>
      </c>
      <c r="G228" s="5">
        <f>$F228*0.07</f>
        <v>4.305000000000001</v>
      </c>
      <c r="H228" s="5">
        <f>IF($C228="BUY",(($D228*$E228)+$F228+$G228)*(-1),IF($C228="SELL",($D228*$E228)-$F228-$G228))</f>
        <v>-30815.805</v>
      </c>
    </row>
    <row r="229" spans="2:8" ht="11.25">
      <c r="B229" s="37" t="s">
        <v>253</v>
      </c>
      <c r="C229" s="3" t="s">
        <v>16</v>
      </c>
      <c r="D229" s="4">
        <v>2000</v>
      </c>
      <c r="E229" s="40">
        <v>11.6</v>
      </c>
      <c r="F229" s="5">
        <f>($D229*$E229)*0.002</f>
        <v>46.4</v>
      </c>
      <c r="G229" s="5">
        <f>$F229*0.07</f>
        <v>3.248</v>
      </c>
      <c r="H229" s="5">
        <f>IF($C229="BUY",(($D229*$E229)+$F229+$G229)*(-1),IF($C229="SELL",($D229*$E229)-$F229-$G229))</f>
        <v>-23249.648</v>
      </c>
    </row>
    <row r="230" spans="2:10" ht="11.25">
      <c r="B230" s="37" t="s">
        <v>253</v>
      </c>
      <c r="C230" s="3" t="s">
        <v>33</v>
      </c>
      <c r="D230" s="4">
        <v>2000</v>
      </c>
      <c r="E230" s="40">
        <v>11.7</v>
      </c>
      <c r="F230" s="5">
        <f>($D230*$E230)*0.002</f>
        <v>46.800000000000004</v>
      </c>
      <c r="G230" s="5">
        <f>$F230*0.07</f>
        <v>3.2760000000000007</v>
      </c>
      <c r="H230" s="5">
        <f>IF($C230="BUY",(($D230*$E230)+$F230+$G230)*(-1),IF($C230="SELL",($D230*$E230)-$F230-$G230))</f>
        <v>23349.924</v>
      </c>
      <c r="J230" s="11"/>
    </row>
    <row r="231" spans="1:8" ht="12" thickBot="1">
      <c r="A231" s="6"/>
      <c r="B231" s="42"/>
      <c r="C231" s="6"/>
      <c r="D231" s="7"/>
      <c r="E231" s="43"/>
      <c r="F231" s="8"/>
      <c r="G231" s="13" t="s">
        <v>14</v>
      </c>
      <c r="H231" s="13">
        <f>SUM(H226:H230)</f>
        <v>-33261.967000000004</v>
      </c>
    </row>
    <row r="232" spans="1:8" ht="11.25">
      <c r="A232" s="3" t="s">
        <v>262</v>
      </c>
      <c r="B232" s="37" t="s">
        <v>253</v>
      </c>
      <c r="C232" s="3" t="s">
        <v>16</v>
      </c>
      <c r="D232" s="4">
        <v>1000</v>
      </c>
      <c r="E232" s="40">
        <v>11.5</v>
      </c>
      <c r="F232" s="5">
        <f>50</f>
        <v>50</v>
      </c>
      <c r="G232" s="5">
        <f>$F232*0.07</f>
        <v>3.5000000000000004</v>
      </c>
      <c r="H232" s="5">
        <f>IF($C232="BUY",(($D232*$E232)+$F232+$G232)*(-1),IF($C232="SELL",($D232*$E232)-$F232-$G232))</f>
        <v>-11553.5</v>
      </c>
    </row>
    <row r="233" spans="1:8" ht="12" thickBot="1">
      <c r="A233" s="6"/>
      <c r="B233" s="42"/>
      <c r="C233" s="6"/>
      <c r="D233" s="7"/>
      <c r="E233" s="43"/>
      <c r="F233" s="8"/>
      <c r="G233" s="13" t="s">
        <v>14</v>
      </c>
      <c r="H233" s="13">
        <f>H232</f>
        <v>-11553.5</v>
      </c>
    </row>
    <row r="234" spans="1:8" ht="11.25">
      <c r="A234" s="3" t="s">
        <v>264</v>
      </c>
      <c r="B234" s="37" t="s">
        <v>223</v>
      </c>
      <c r="C234" s="3" t="s">
        <v>33</v>
      </c>
      <c r="D234" s="4">
        <v>200</v>
      </c>
      <c r="E234" s="40">
        <v>21</v>
      </c>
      <c r="F234" s="5">
        <f>($D234*$E234)*0.002</f>
        <v>8.4</v>
      </c>
      <c r="G234" s="5">
        <f>$F234*0.07</f>
        <v>0.5880000000000001</v>
      </c>
      <c r="H234" s="5">
        <f>IF($C234="BUY",(($D234*$E234)+$F234+$G234)*(-1),IF($C234="SELL",($D234*$E234)-$F234-$G234))</f>
        <v>4191.012000000001</v>
      </c>
    </row>
    <row r="235" spans="2:8" ht="11.25">
      <c r="B235" s="37" t="s">
        <v>255</v>
      </c>
      <c r="C235" s="3" t="s">
        <v>16</v>
      </c>
      <c r="D235" s="4">
        <v>1000</v>
      </c>
      <c r="E235" s="40">
        <v>8.3</v>
      </c>
      <c r="F235" s="5">
        <f>($D235*$E235)*0.002</f>
        <v>16.6</v>
      </c>
      <c r="G235" s="5">
        <f>$F235*0.07</f>
        <v>1.1620000000000001</v>
      </c>
      <c r="H235" s="5">
        <f>IF($C235="BUY",(($D235*$E235)+$F235+$G235)*(-1),IF($C235="SELL",($D235*$E235)-$F235-$G235))</f>
        <v>-8317.762</v>
      </c>
    </row>
    <row r="236" spans="2:10" ht="11.25">
      <c r="B236" s="37" t="s">
        <v>254</v>
      </c>
      <c r="C236" s="3" t="s">
        <v>33</v>
      </c>
      <c r="D236" s="4">
        <v>1000</v>
      </c>
      <c r="E236" s="40">
        <v>31.25</v>
      </c>
      <c r="F236" s="5">
        <f>($D236*$E236)*0.002</f>
        <v>62.5</v>
      </c>
      <c r="G236" s="5">
        <f>$F236*0.07</f>
        <v>4.375</v>
      </c>
      <c r="H236" s="5">
        <f>IF($C236="BUY",(($D236*$E236)+$F236+$G236)*(-1),IF($C236="SELL",($D236*$E236)-$F236-$G236))</f>
        <v>31183.125</v>
      </c>
      <c r="J236" s="11">
        <f>SUM(H228,H236)</f>
        <v>367.3199999999997</v>
      </c>
    </row>
    <row r="237" spans="1:8" ht="12" thickBot="1">
      <c r="A237" s="6"/>
      <c r="B237" s="42"/>
      <c r="C237" s="6"/>
      <c r="D237" s="7"/>
      <c r="E237" s="43"/>
      <c r="F237" s="8"/>
      <c r="G237" s="14" t="s">
        <v>34</v>
      </c>
      <c r="H237" s="14">
        <f>SUM(H234:H236)</f>
        <v>27056.375</v>
      </c>
    </row>
    <row r="238" spans="1:8" ht="11.25">
      <c r="A238" s="3" t="s">
        <v>271</v>
      </c>
      <c r="B238" s="37" t="s">
        <v>253</v>
      </c>
      <c r="C238" s="3" t="s">
        <v>16</v>
      </c>
      <c r="D238" s="4">
        <v>5000</v>
      </c>
      <c r="E238" s="40">
        <v>11.3</v>
      </c>
      <c r="F238" s="5">
        <f>($D238*$E238)*0.002</f>
        <v>113</v>
      </c>
      <c r="G238" s="5">
        <f>$F238*0.07</f>
        <v>7.910000000000001</v>
      </c>
      <c r="H238" s="5">
        <f>IF($C238="BUY",(($D238*$E238)+$F238+$G238)*(-1),IF($C238="SELL",($D238*$E238)-$F238-$G238))</f>
        <v>-56620.91</v>
      </c>
    </row>
    <row r="239" spans="2:8" ht="11.25">
      <c r="B239" s="37" t="s">
        <v>253</v>
      </c>
      <c r="C239" s="3" t="s">
        <v>33</v>
      </c>
      <c r="D239" s="4">
        <v>2300</v>
      </c>
      <c r="E239" s="40">
        <v>11.3</v>
      </c>
      <c r="F239" s="5">
        <f>($D239*$E239)*0.002</f>
        <v>51.980000000000004</v>
      </c>
      <c r="G239" s="5">
        <f>$F239*0.07</f>
        <v>3.6386000000000007</v>
      </c>
      <c r="H239" s="5">
        <f>IF($C239="BUY",(($D239*$E239)+$F239+$G239)*(-1),IF($C239="SELL",($D239*$E239)-$F239-$G239))</f>
        <v>25934.381400000002</v>
      </c>
    </row>
    <row r="240" spans="1:8" ht="12" thickBot="1">
      <c r="A240" s="6"/>
      <c r="B240" s="42"/>
      <c r="C240" s="6"/>
      <c r="D240" s="7"/>
      <c r="E240" s="43"/>
      <c r="F240" s="8"/>
      <c r="G240" s="13" t="s">
        <v>14</v>
      </c>
      <c r="H240" s="13">
        <f>SUM(H238:H239)</f>
        <v>-30686.5286</v>
      </c>
    </row>
    <row r="241" spans="1:8" ht="11.25">
      <c r="A241" s="3" t="s">
        <v>278</v>
      </c>
      <c r="B241" s="37" t="s">
        <v>253</v>
      </c>
      <c r="C241" s="3" t="s">
        <v>33</v>
      </c>
      <c r="D241" s="4">
        <v>2700</v>
      </c>
      <c r="E241" s="40">
        <v>11.2</v>
      </c>
      <c r="F241" s="5">
        <f>($D241*$E241)*0.002</f>
        <v>60.48</v>
      </c>
      <c r="G241" s="5">
        <f>$F241*0.07</f>
        <v>4.2336</v>
      </c>
      <c r="H241" s="5">
        <f>IF($C241="BUY",(($D241*$E241)+$F241+$G241)*(-1),IF($C241="SELL",($D241*$E241)-$F241-$G241))</f>
        <v>30175.286399999997</v>
      </c>
    </row>
    <row r="242" spans="2:8" ht="11.25">
      <c r="B242" s="37" t="s">
        <v>223</v>
      </c>
      <c r="C242" s="3" t="s">
        <v>33</v>
      </c>
      <c r="D242" s="4">
        <v>500</v>
      </c>
      <c r="E242" s="40">
        <v>17.5</v>
      </c>
      <c r="F242" s="5">
        <f>($D242*$E242)*0.002</f>
        <v>17.5</v>
      </c>
      <c r="G242" s="5">
        <f>$F242*0.07</f>
        <v>1.225</v>
      </c>
      <c r="H242" s="5">
        <f>IF($C242="BUY",(($D242*$E242)+$F242+$G242)*(-1),IF($C242="SELL",($D242*$E242)-$F242-$G242))</f>
        <v>8731.275</v>
      </c>
    </row>
    <row r="243" spans="2:8" ht="11.25">
      <c r="B243" s="37" t="s">
        <v>279</v>
      </c>
      <c r="C243" s="3" t="s">
        <v>16</v>
      </c>
      <c r="D243" s="4">
        <v>2000</v>
      </c>
      <c r="E243" s="40">
        <v>8.65</v>
      </c>
      <c r="F243" s="5">
        <f>($D243*$E243)*0.002</f>
        <v>34.6</v>
      </c>
      <c r="G243" s="5">
        <f>$F243*0.07</f>
        <v>2.422</v>
      </c>
      <c r="H243" s="5">
        <f>IF($C243="BUY",(($D243*$E243)+$F243+$G243)*(-1),IF($C243="SELL",($D243*$E243)-$F243-$G243))</f>
        <v>-17337.021999999997</v>
      </c>
    </row>
    <row r="244" spans="1:8" ht="12" thickBot="1">
      <c r="A244" s="6"/>
      <c r="B244" s="42"/>
      <c r="C244" s="6"/>
      <c r="D244" s="7"/>
      <c r="E244" s="43"/>
      <c r="F244" s="8"/>
      <c r="G244" s="14" t="s">
        <v>34</v>
      </c>
      <c r="H244" s="14">
        <f>SUM(H241:H243)</f>
        <v>21569.5394</v>
      </c>
    </row>
    <row r="245" spans="1:8" ht="11.25">
      <c r="A245" s="3" t="s">
        <v>281</v>
      </c>
      <c r="B245" s="37" t="s">
        <v>282</v>
      </c>
      <c r="C245" s="3" t="s">
        <v>16</v>
      </c>
      <c r="D245" s="4">
        <v>500</v>
      </c>
      <c r="E245" s="40">
        <v>47</v>
      </c>
      <c r="F245" s="5">
        <f>($D245*$E245)*0.002</f>
        <v>47</v>
      </c>
      <c r="G245" s="5">
        <f>$F245*0.07</f>
        <v>3.2900000000000005</v>
      </c>
      <c r="H245" s="5">
        <f>IF($C245="BUY",(($D245*$E245)+$F245+$G245)*(-1),IF($C245="SELL",($D245*$E245)-$F245-$G245))</f>
        <v>-23550.29</v>
      </c>
    </row>
    <row r="246" spans="2:10" ht="11.25">
      <c r="B246" s="37" t="s">
        <v>282</v>
      </c>
      <c r="C246" s="3" t="s">
        <v>33</v>
      </c>
      <c r="D246" s="4">
        <v>500</v>
      </c>
      <c r="E246" s="40">
        <v>49</v>
      </c>
      <c r="F246" s="5">
        <f>($D246*$E246)*0.002</f>
        <v>49</v>
      </c>
      <c r="G246" s="5">
        <f>$F246*0.07</f>
        <v>3.43</v>
      </c>
      <c r="H246" s="5">
        <f>IF($C246="BUY",(($D246*$E246)+$F246+$G246)*(-1),IF($C246="SELL",($D246*$E246)-$F246-$G246))</f>
        <v>24447.57</v>
      </c>
      <c r="J246" s="11">
        <f>SUM(H245:H246)</f>
        <v>897.2799999999988</v>
      </c>
    </row>
    <row r="247" spans="1:8" ht="12" thickBot="1">
      <c r="A247" s="6"/>
      <c r="B247" s="42"/>
      <c r="C247" s="6"/>
      <c r="D247" s="7"/>
      <c r="E247" s="43"/>
      <c r="F247" s="8"/>
      <c r="G247" s="14" t="s">
        <v>34</v>
      </c>
      <c r="H247" s="14">
        <f>SUM(H245:H246)</f>
        <v>897.2799999999988</v>
      </c>
    </row>
    <row r="248" spans="1:8" ht="11.25">
      <c r="A248" s="3" t="s">
        <v>284</v>
      </c>
      <c r="B248" s="37" t="s">
        <v>255</v>
      </c>
      <c r="C248" s="3" t="s">
        <v>33</v>
      </c>
      <c r="D248" s="4">
        <v>2000</v>
      </c>
      <c r="E248" s="40">
        <v>8.4</v>
      </c>
      <c r="F248" s="5">
        <v>50</v>
      </c>
      <c r="G248" s="5">
        <f>$F248*0.07</f>
        <v>3.5000000000000004</v>
      </c>
      <c r="H248" s="5">
        <f>IF($C248="BUY",(($D248*$E248)+$F248+$G248)*(-1),IF($C248="SELL",($D248*$E248)-$F248-$G248))</f>
        <v>16746.5</v>
      </c>
    </row>
    <row r="249" spans="1:10" ht="12" thickBot="1">
      <c r="A249" s="6"/>
      <c r="B249" s="42"/>
      <c r="C249" s="6"/>
      <c r="D249" s="7"/>
      <c r="E249" s="43"/>
      <c r="F249" s="8"/>
      <c r="G249" s="14" t="s">
        <v>34</v>
      </c>
      <c r="H249" s="14">
        <f>H248</f>
        <v>16746.5</v>
      </c>
      <c r="J249" s="11">
        <f>SUM(H219,H235,H248)</f>
        <v>211.19000000000233</v>
      </c>
    </row>
    <row r="250" spans="1:8" ht="11.25">
      <c r="A250" s="3" t="s">
        <v>286</v>
      </c>
      <c r="B250" s="37" t="s">
        <v>241</v>
      </c>
      <c r="C250" s="3" t="s">
        <v>16</v>
      </c>
      <c r="D250" s="4">
        <v>200</v>
      </c>
      <c r="E250" s="40">
        <v>122</v>
      </c>
      <c r="F250" s="5">
        <v>50</v>
      </c>
      <c r="G250" s="5">
        <f>$F250*0.07</f>
        <v>3.5000000000000004</v>
      </c>
      <c r="H250" s="5">
        <f>IF($C250="BUY",(($D250*$E250)+$F250+$G250)*(-1),IF($C250="SELL",($D250*$E250)-$F250-$G250))</f>
        <v>-24453.5</v>
      </c>
    </row>
    <row r="251" spans="1:8" ht="12" thickBot="1">
      <c r="A251" s="6"/>
      <c r="B251" s="42"/>
      <c r="C251" s="6"/>
      <c r="D251" s="7"/>
      <c r="E251" s="43"/>
      <c r="F251" s="8"/>
      <c r="G251" s="13" t="s">
        <v>14</v>
      </c>
      <c r="H251" s="13">
        <f>SUM(H250:H250)</f>
        <v>-24453.5</v>
      </c>
    </row>
    <row r="252" spans="1:10" ht="11.25">
      <c r="A252" s="3" t="s">
        <v>290</v>
      </c>
      <c r="B252" s="37" t="s">
        <v>241</v>
      </c>
      <c r="C252" s="3" t="s">
        <v>33</v>
      </c>
      <c r="D252" s="4">
        <v>4000</v>
      </c>
      <c r="E252" s="40">
        <v>12.5</v>
      </c>
      <c r="F252" s="5">
        <f>($D252*$E252)*0.002</f>
        <v>100</v>
      </c>
      <c r="G252" s="5">
        <f>$F252*0.07</f>
        <v>7.000000000000001</v>
      </c>
      <c r="H252" s="5">
        <f>IF($C252="BUY",(($D252*$E252)+$F252+$G252)*(-1),IF($C252="SELL",($D252*$E252)-$F252-$G252))</f>
        <v>49893</v>
      </c>
      <c r="J252" s="11">
        <f>SUM(H222,H227,H250,H252)</f>
        <v>1187.7119999999995</v>
      </c>
    </row>
    <row r="253" spans="2:8" ht="11.25">
      <c r="B253" s="37" t="s">
        <v>253</v>
      </c>
      <c r="C253" s="3" t="s">
        <v>16</v>
      </c>
      <c r="D253" s="4">
        <v>3000</v>
      </c>
      <c r="E253" s="40">
        <v>11.6</v>
      </c>
      <c r="F253" s="5">
        <f>($D253*$E253)*0.002</f>
        <v>69.60000000000001</v>
      </c>
      <c r="G253" s="5">
        <f>$F253*0.07</f>
        <v>4.872000000000001</v>
      </c>
      <c r="H253" s="5">
        <f>IF($C253="BUY",(($D253*$E253)+$F253+$G253)*(-1),IF($C253="SELL",($D253*$E253)-$F253-$G253))</f>
        <v>-34874.472</v>
      </c>
    </row>
    <row r="254" spans="1:8" ht="12" thickBot="1">
      <c r="A254" s="6"/>
      <c r="B254" s="42"/>
      <c r="C254" s="6"/>
      <c r="D254" s="7"/>
      <c r="E254" s="43"/>
      <c r="F254" s="8"/>
      <c r="G254" s="14" t="s">
        <v>34</v>
      </c>
      <c r="H254" s="14">
        <f>SUM(H252:H253)</f>
        <v>15018.527999999998</v>
      </c>
    </row>
    <row r="255" spans="1:8" ht="11.25">
      <c r="A255" s="3" t="s">
        <v>292</v>
      </c>
      <c r="B255" s="37" t="s">
        <v>223</v>
      </c>
      <c r="C255" s="3" t="s">
        <v>33</v>
      </c>
      <c r="D255" s="4">
        <v>300</v>
      </c>
      <c r="E255" s="40">
        <v>18.6</v>
      </c>
      <c r="F255" s="5">
        <v>25</v>
      </c>
      <c r="G255" s="5">
        <f>$F255*0.07</f>
        <v>1.7500000000000002</v>
      </c>
      <c r="H255" s="5">
        <f>IF($C255="BUY",(($D255*$E255)+$F255+$G255)*(-1),IF($C255="SELL",($D255*$E255)-$F255-$G255))</f>
        <v>5553.25</v>
      </c>
    </row>
    <row r="256" spans="2:10" ht="11.25">
      <c r="B256" s="37" t="s">
        <v>223</v>
      </c>
      <c r="C256" s="3" t="s">
        <v>16</v>
      </c>
      <c r="D256" s="4">
        <v>300</v>
      </c>
      <c r="E256" s="40">
        <v>18.2</v>
      </c>
      <c r="F256" s="5">
        <v>25</v>
      </c>
      <c r="G256" s="5">
        <f>$F256*0.07</f>
        <v>1.7500000000000002</v>
      </c>
      <c r="H256" s="5">
        <f>IF($C256="BUY",(($D256*$E256)+$F256+$G256)*(-1),IF($C256="SELL",($D256*$E256)-$F256-$G256))</f>
        <v>-5486.75</v>
      </c>
      <c r="J256" s="10"/>
    </row>
    <row r="257" spans="1:8" ht="12" thickBot="1">
      <c r="A257" s="6"/>
      <c r="B257" s="42"/>
      <c r="C257" s="6"/>
      <c r="D257" s="7"/>
      <c r="E257" s="43"/>
      <c r="F257" s="8"/>
      <c r="G257" s="14" t="s">
        <v>34</v>
      </c>
      <c r="H257" s="14">
        <f>SUM(H255:H256)</f>
        <v>66.5</v>
      </c>
    </row>
    <row r="258" spans="1:10" ht="11.25">
      <c r="A258" s="3" t="s">
        <v>298</v>
      </c>
      <c r="B258" s="37" t="s">
        <v>279</v>
      </c>
      <c r="C258" s="3" t="s">
        <v>33</v>
      </c>
      <c r="D258" s="4">
        <v>2000</v>
      </c>
      <c r="E258" s="40">
        <v>8.55</v>
      </c>
      <c r="F258" s="5">
        <f>($D258*$E258)*0.002</f>
        <v>34.2</v>
      </c>
      <c r="G258" s="5">
        <f>$F258*0.07</f>
        <v>2.3940000000000006</v>
      </c>
      <c r="H258" s="5">
        <f>IF($C258="BUY",(($D258*$E258)+$F258+$G258)*(-1),IF($C258="SELL",($D258*$E258)-$F258-$G258))</f>
        <v>17063.406</v>
      </c>
      <c r="J258" s="18">
        <f>SUM(H258,H243)</f>
        <v>-273.61599999999817</v>
      </c>
    </row>
    <row r="259" spans="2:8" ht="11.25">
      <c r="B259" s="37" t="s">
        <v>299</v>
      </c>
      <c r="C259" s="3" t="s">
        <v>16</v>
      </c>
      <c r="D259" s="4">
        <v>1000</v>
      </c>
      <c r="E259" s="40">
        <v>2.44</v>
      </c>
      <c r="F259" s="5">
        <f>($D259*$E259)*0.002</f>
        <v>4.88</v>
      </c>
      <c r="G259" s="5">
        <f>$F259*0.07</f>
        <v>0.3416</v>
      </c>
      <c r="H259" s="5">
        <f>IF($C259="BUY",(($D259*$E259)+$F259+$G259)*(-1),IF($C259="SELL",($D259*$E259)-$F259-$G259))</f>
        <v>-2445.2216000000003</v>
      </c>
    </row>
    <row r="260" spans="2:8" ht="11.25">
      <c r="B260" s="37" t="s">
        <v>300</v>
      </c>
      <c r="C260" s="3" t="s">
        <v>16</v>
      </c>
      <c r="D260" s="4">
        <v>3000</v>
      </c>
      <c r="E260" s="40">
        <v>9</v>
      </c>
      <c r="F260" s="5">
        <f>($D260*$E260)*0.002</f>
        <v>54</v>
      </c>
      <c r="G260" s="5">
        <f>$F260*0.07</f>
        <v>3.7800000000000002</v>
      </c>
      <c r="H260" s="5">
        <f>IF($C260="BUY",(($D260*$E260)+$F260+$G260)*(-1),IF($C260="SELL",($D260*$E260)-$F260-$G260))</f>
        <v>-27057.78</v>
      </c>
    </row>
    <row r="261" spans="1:8" ht="12" thickBot="1">
      <c r="A261" s="6"/>
      <c r="B261" s="42"/>
      <c r="C261" s="6"/>
      <c r="D261" s="7"/>
      <c r="E261" s="43"/>
      <c r="F261" s="8"/>
      <c r="G261" s="13" t="s">
        <v>14</v>
      </c>
      <c r="H261" s="13">
        <f>SUM(H258:H260)</f>
        <v>-12439.5956</v>
      </c>
    </row>
    <row r="262" spans="1:8" ht="11.25">
      <c r="A262" s="3" t="s">
        <v>301</v>
      </c>
      <c r="B262" s="37" t="s">
        <v>253</v>
      </c>
      <c r="C262" s="3" t="s">
        <v>33</v>
      </c>
      <c r="D262" s="4">
        <v>2000</v>
      </c>
      <c r="E262" s="40">
        <v>12.1</v>
      </c>
      <c r="F262" s="5">
        <v>50</v>
      </c>
      <c r="G262" s="5">
        <f>$F262*0.07</f>
        <v>3.5000000000000004</v>
      </c>
      <c r="H262" s="5">
        <f>IF($C262="BUY",(($D262*$E262)+$F262+$G262)*(-1),IF($C262="SELL",($D262*$E262)-$F262-$G262))</f>
        <v>24146.5</v>
      </c>
    </row>
    <row r="263" spans="1:8" ht="12" thickBot="1">
      <c r="A263" s="6"/>
      <c r="B263" s="42"/>
      <c r="C263" s="6"/>
      <c r="D263" s="7"/>
      <c r="E263" s="43"/>
      <c r="F263" s="8"/>
      <c r="G263" s="14" t="s">
        <v>34</v>
      </c>
      <c r="H263" s="14">
        <f>H262</f>
        <v>24146.5</v>
      </c>
    </row>
    <row r="264" spans="1:8" ht="11.25">
      <c r="A264" s="3" t="s">
        <v>306</v>
      </c>
      <c r="B264" s="37" t="s">
        <v>300</v>
      </c>
      <c r="C264" s="3" t="s">
        <v>16</v>
      </c>
      <c r="D264" s="4">
        <v>2000</v>
      </c>
      <c r="E264" s="40">
        <v>8.95</v>
      </c>
      <c r="F264" s="5">
        <v>25</v>
      </c>
      <c r="G264" s="5">
        <f>$F264*0.07</f>
        <v>1.7500000000000002</v>
      </c>
      <c r="H264" s="5">
        <f>IF($C264="BUY",(($D264*$E264)+$F264+$G264)*(-1),IF($C264="SELL",($D264*$E264)-$F264-$G264))</f>
        <v>-17926.75</v>
      </c>
    </row>
    <row r="265" spans="2:8" ht="11.25">
      <c r="B265" s="37" t="s">
        <v>299</v>
      </c>
      <c r="C265" s="3" t="s">
        <v>16</v>
      </c>
      <c r="D265" s="4">
        <v>2000</v>
      </c>
      <c r="E265" s="40">
        <v>2.58</v>
      </c>
      <c r="F265" s="5">
        <v>25</v>
      </c>
      <c r="G265" s="5">
        <f>$F265*0.07</f>
        <v>1.7500000000000002</v>
      </c>
      <c r="H265" s="5">
        <f>IF($C265="BUY",(($D265*$E265)+$F265+$G265)*(-1),IF($C265="SELL",($D265*$E265)-$F265-$G265))</f>
        <v>-5186.75</v>
      </c>
    </row>
    <row r="266" spans="1:8" ht="12" thickBot="1">
      <c r="A266" s="6"/>
      <c r="B266" s="42"/>
      <c r="C266" s="6"/>
      <c r="D266" s="7"/>
      <c r="E266" s="43"/>
      <c r="F266" s="8"/>
      <c r="G266" s="13" t="s">
        <v>14</v>
      </c>
      <c r="H266" s="13">
        <f>SUM(H264:H265)</f>
        <v>-23113.5</v>
      </c>
    </row>
    <row r="267" spans="1:8" ht="11.25">
      <c r="A267" s="3" t="s">
        <v>308</v>
      </c>
      <c r="B267" s="37" t="s">
        <v>300</v>
      </c>
      <c r="C267" s="3" t="s">
        <v>33</v>
      </c>
      <c r="D267" s="4">
        <v>2000</v>
      </c>
      <c r="E267" s="40">
        <v>9.05</v>
      </c>
      <c r="F267" s="5">
        <f>($D267*$E267)*0.002</f>
        <v>36.2</v>
      </c>
      <c r="G267" s="5">
        <f>$F267*0.07</f>
        <v>2.5340000000000003</v>
      </c>
      <c r="H267" s="5">
        <f>IF($C267="BUY",(($D267*$E267)+$F267+$G267)*(-1),IF($C267="SELL",($D267*$E267)-$F267-$G267))</f>
        <v>18061.266</v>
      </c>
    </row>
    <row r="268" spans="2:10" ht="11.25">
      <c r="B268" s="37" t="s">
        <v>223</v>
      </c>
      <c r="C268" s="3" t="s">
        <v>33</v>
      </c>
      <c r="D268" s="4">
        <v>800</v>
      </c>
      <c r="E268" s="40">
        <v>19.9</v>
      </c>
      <c r="F268" s="5">
        <f>($D268*$E268)*0.002</f>
        <v>31.839999999999996</v>
      </c>
      <c r="G268" s="5">
        <f>$F268*0.07</f>
        <v>2.2288</v>
      </c>
      <c r="H268" s="5">
        <f>IF($C268="BUY",(($D268*$E268)+$F268+$G268)*(-1),IF($C268="SELL",($D268*$E268)-$F268-$G268))</f>
        <v>15885.931199999997</v>
      </c>
      <c r="J268" s="18">
        <f>SUM(H268,H256,H255,H242,H234,H218,H203,H199,H191)</f>
        <v>-5018.309799999999</v>
      </c>
    </row>
    <row r="269" spans="2:8" ht="11.25">
      <c r="B269" s="37" t="s">
        <v>300</v>
      </c>
      <c r="C269" s="3" t="s">
        <v>16</v>
      </c>
      <c r="D269" s="4">
        <v>2000</v>
      </c>
      <c r="E269" s="40">
        <v>8.95</v>
      </c>
      <c r="F269" s="5">
        <f>($D269*$E269)*0.002</f>
        <v>35.800000000000004</v>
      </c>
      <c r="G269" s="5">
        <f>$F269*0.07</f>
        <v>2.5060000000000007</v>
      </c>
      <c r="H269" s="5">
        <f>IF($C269="BUY",(($D269*$E269)+$F269+$G269)*(-1),IF($C269="SELL",($D269*$E269)-$F269-$G269))</f>
        <v>-17938.306</v>
      </c>
    </row>
    <row r="270" spans="2:8" ht="11.25">
      <c r="B270" s="37" t="s">
        <v>299</v>
      </c>
      <c r="C270" s="3" t="s">
        <v>16</v>
      </c>
      <c r="D270" s="4">
        <v>2000</v>
      </c>
      <c r="E270" s="40">
        <v>2.58</v>
      </c>
      <c r="F270" s="5">
        <f>($D270*$E270)*0.002</f>
        <v>10.32</v>
      </c>
      <c r="G270" s="5">
        <f>$F270*0.07</f>
        <v>0.7224</v>
      </c>
      <c r="H270" s="5">
        <f>IF($C270="BUY",(($D270*$E270)+$F270+$G270)*(-1),IF($C270="SELL",($D270*$E270)-$F270-$G270))</f>
        <v>-5171.042399999999</v>
      </c>
    </row>
    <row r="271" spans="1:8" ht="12" thickBot="1">
      <c r="A271" s="6"/>
      <c r="B271" s="42"/>
      <c r="C271" s="6"/>
      <c r="D271" s="7"/>
      <c r="E271" s="43"/>
      <c r="F271" s="8"/>
      <c r="G271" s="14" t="s">
        <v>34</v>
      </c>
      <c r="H271" s="14">
        <f>SUM(H267:H270)</f>
        <v>10837.848799999996</v>
      </c>
    </row>
    <row r="272" spans="1:8" ht="11.25">
      <c r="A272" s="3" t="s">
        <v>311</v>
      </c>
      <c r="B272" s="37" t="s">
        <v>253</v>
      </c>
      <c r="C272" s="3" t="s">
        <v>33</v>
      </c>
      <c r="D272" s="4">
        <v>2000</v>
      </c>
      <c r="E272" s="40">
        <v>12.9</v>
      </c>
      <c r="F272" s="5">
        <f>($D272*$E272)*0.002</f>
        <v>51.6</v>
      </c>
      <c r="G272" s="5">
        <f>$F272*0.07</f>
        <v>3.6120000000000005</v>
      </c>
      <c r="H272" s="5">
        <f>IF($C272="BUY",(($D272*$E272)+$F272+$G272)*(-1),IF($C272="SELL",($D272*$E272)-$F272-$G272))</f>
        <v>25744.788</v>
      </c>
    </row>
    <row r="273" spans="1:8" ht="12" thickBot="1">
      <c r="A273" s="6"/>
      <c r="B273" s="42"/>
      <c r="C273" s="6"/>
      <c r="D273" s="7"/>
      <c r="E273" s="43"/>
      <c r="F273" s="8"/>
      <c r="G273" s="14" t="s">
        <v>34</v>
      </c>
      <c r="H273" s="14">
        <f>H272</f>
        <v>25744.788</v>
      </c>
    </row>
    <row r="274" spans="1:8" ht="11.25">
      <c r="A274" s="3" t="s">
        <v>314</v>
      </c>
      <c r="B274" s="37" t="s">
        <v>300</v>
      </c>
      <c r="C274" s="3" t="s">
        <v>33</v>
      </c>
      <c r="D274" s="4">
        <v>3000</v>
      </c>
      <c r="E274" s="40">
        <v>9.1</v>
      </c>
      <c r="F274" s="5">
        <f>($D274*$E274)*0.002</f>
        <v>54.6</v>
      </c>
      <c r="G274" s="5">
        <f>$F274*0.07</f>
        <v>3.8220000000000005</v>
      </c>
      <c r="H274" s="5">
        <f>IF($C274="BUY",(($D274*$E274)+$F274+$G274)*(-1),IF($C274="SELL",($D274*$E274)-$F274-$G274))</f>
        <v>27241.578</v>
      </c>
    </row>
    <row r="275" spans="2:8" ht="11.25">
      <c r="B275" s="37" t="s">
        <v>299</v>
      </c>
      <c r="C275" s="3" t="s">
        <v>16</v>
      </c>
      <c r="D275" s="4">
        <v>2000</v>
      </c>
      <c r="E275" s="40">
        <v>2.6</v>
      </c>
      <c r="F275" s="5">
        <f>($D275*$E275)*0.002</f>
        <v>10.4</v>
      </c>
      <c r="G275" s="5">
        <f>$F275*0.07</f>
        <v>0.7280000000000001</v>
      </c>
      <c r="H275" s="5">
        <f>IF($C275="BUY",(($D275*$E275)+$F275+$G275)*(-1),IF($C275="SELL",($D275*$E275)-$F275-$G275))</f>
        <v>-5211.128</v>
      </c>
    </row>
    <row r="276" spans="1:8" ht="12" thickBot="1">
      <c r="A276" s="6"/>
      <c r="B276" s="42"/>
      <c r="C276" s="6"/>
      <c r="D276" s="7"/>
      <c r="E276" s="43"/>
      <c r="F276" s="8"/>
      <c r="G276" s="14" t="s">
        <v>34</v>
      </c>
      <c r="H276" s="14">
        <f>SUM(H274:H275)</f>
        <v>22030.45</v>
      </c>
    </row>
    <row r="277" spans="1:10" ht="11.25">
      <c r="A277" s="3" t="s">
        <v>316</v>
      </c>
      <c r="B277" s="37" t="s">
        <v>253</v>
      </c>
      <c r="C277" s="3" t="s">
        <v>33</v>
      </c>
      <c r="D277" s="4">
        <v>2000</v>
      </c>
      <c r="E277" s="40">
        <v>13.7</v>
      </c>
      <c r="F277" s="5">
        <f aca="true" t="shared" si="4" ref="F277:F289">($D277*$E277)*0.002</f>
        <v>54.800000000000004</v>
      </c>
      <c r="G277" s="5">
        <f aca="true" t="shared" si="5" ref="G277:G347">$F277*0.07</f>
        <v>3.8360000000000007</v>
      </c>
      <c r="H277" s="5">
        <f aca="true" t="shared" si="6" ref="H277:H306">IF($C277="BUY",(($D277*$E277)+$F277+$G277)*(-1),IF($C277="SELL",($D277*$E277)-$F277-$G277))</f>
        <v>27341.364</v>
      </c>
      <c r="J277" s="11">
        <f>SUM(H224,H229:H230,H232,H238:H239,H241,H253,H262,H272,H277,H216)</f>
        <v>6642.995799999999</v>
      </c>
    </row>
    <row r="278" spans="2:8" ht="11.25">
      <c r="B278" s="37" t="s">
        <v>300</v>
      </c>
      <c r="C278" s="3" t="s">
        <v>16</v>
      </c>
      <c r="D278" s="4">
        <v>2000</v>
      </c>
      <c r="E278" s="40">
        <v>9.35</v>
      </c>
      <c r="F278" s="5">
        <f t="shared" si="4"/>
        <v>37.4</v>
      </c>
      <c r="G278" s="5">
        <f t="shared" si="5"/>
        <v>2.6180000000000003</v>
      </c>
      <c r="H278" s="5">
        <f t="shared" si="6"/>
        <v>-18740.018</v>
      </c>
    </row>
    <row r="279" spans="2:10" ht="11.25">
      <c r="B279" s="37" t="s">
        <v>300</v>
      </c>
      <c r="C279" s="3" t="s">
        <v>33</v>
      </c>
      <c r="D279" s="4">
        <v>2000</v>
      </c>
      <c r="E279" s="40">
        <v>9.45</v>
      </c>
      <c r="F279" s="5">
        <f t="shared" si="4"/>
        <v>37.800000000000004</v>
      </c>
      <c r="G279" s="5">
        <f t="shared" si="5"/>
        <v>2.6460000000000004</v>
      </c>
      <c r="H279" s="5">
        <f t="shared" si="6"/>
        <v>18859.554</v>
      </c>
      <c r="J279" s="10"/>
    </row>
    <row r="280" spans="2:8" ht="11.25">
      <c r="B280" s="37" t="s">
        <v>300</v>
      </c>
      <c r="C280" s="3" t="s">
        <v>16</v>
      </c>
      <c r="D280" s="4">
        <v>4000</v>
      </c>
      <c r="E280" s="40">
        <v>9.35</v>
      </c>
      <c r="F280" s="5">
        <f t="shared" si="4"/>
        <v>74.8</v>
      </c>
      <c r="G280" s="5">
        <f t="shared" si="5"/>
        <v>5.236000000000001</v>
      </c>
      <c r="H280" s="5">
        <f t="shared" si="6"/>
        <v>-37480.036</v>
      </c>
    </row>
    <row r="281" spans="2:8" ht="11.25">
      <c r="B281" s="37" t="s">
        <v>223</v>
      </c>
      <c r="C281" s="3" t="s">
        <v>16</v>
      </c>
      <c r="D281" s="4">
        <v>1000</v>
      </c>
      <c r="E281" s="40">
        <v>18.8</v>
      </c>
      <c r="F281" s="5">
        <f t="shared" si="4"/>
        <v>37.6</v>
      </c>
      <c r="G281" s="5">
        <f t="shared" si="5"/>
        <v>2.6320000000000006</v>
      </c>
      <c r="H281" s="5">
        <f t="shared" si="6"/>
        <v>-18840.232</v>
      </c>
    </row>
    <row r="282" spans="2:10" ht="11.25">
      <c r="B282" s="37" t="s">
        <v>300</v>
      </c>
      <c r="C282" s="3" t="s">
        <v>33</v>
      </c>
      <c r="D282" s="4">
        <v>4000</v>
      </c>
      <c r="E282" s="40">
        <v>9.25</v>
      </c>
      <c r="F282" s="5">
        <f t="shared" si="4"/>
        <v>74</v>
      </c>
      <c r="G282" s="5">
        <f t="shared" si="5"/>
        <v>5.180000000000001</v>
      </c>
      <c r="H282" s="5">
        <f t="shared" si="6"/>
        <v>36920.82</v>
      </c>
      <c r="J282" s="10"/>
    </row>
    <row r="283" spans="2:8" ht="11.25">
      <c r="B283" s="37" t="s">
        <v>300</v>
      </c>
      <c r="C283" s="3" t="s">
        <v>16</v>
      </c>
      <c r="D283" s="4">
        <v>3000</v>
      </c>
      <c r="E283" s="40">
        <v>9.15</v>
      </c>
      <c r="F283" s="5">
        <f t="shared" si="4"/>
        <v>54.9</v>
      </c>
      <c r="G283" s="5">
        <f t="shared" si="5"/>
        <v>3.8430000000000004</v>
      </c>
      <c r="H283" s="5">
        <f t="shared" si="6"/>
        <v>-27508.743000000002</v>
      </c>
    </row>
    <row r="284" spans="1:8" ht="12" thickBot="1">
      <c r="A284" s="6"/>
      <c r="B284" s="42"/>
      <c r="C284" s="6"/>
      <c r="D284" s="7"/>
      <c r="E284" s="43"/>
      <c r="F284" s="8"/>
      <c r="G284" s="13" t="s">
        <v>14</v>
      </c>
      <c r="H284" s="13">
        <f>SUM(H277:H283)</f>
        <v>-19447.291</v>
      </c>
    </row>
    <row r="285" spans="1:8" ht="11.25">
      <c r="A285" s="3" t="s">
        <v>319</v>
      </c>
      <c r="B285" s="37" t="s">
        <v>223</v>
      </c>
      <c r="C285" s="3" t="s">
        <v>16</v>
      </c>
      <c r="D285" s="4">
        <v>200</v>
      </c>
      <c r="E285" s="40">
        <v>19.1</v>
      </c>
      <c r="F285" s="5">
        <f t="shared" si="4"/>
        <v>7.6400000000000015</v>
      </c>
      <c r="G285" s="5">
        <f t="shared" si="5"/>
        <v>0.5348000000000002</v>
      </c>
      <c r="H285" s="5">
        <f t="shared" si="6"/>
        <v>-3828.1748000000002</v>
      </c>
    </row>
    <row r="286" spans="2:8" ht="11.25">
      <c r="B286" s="37" t="s">
        <v>299</v>
      </c>
      <c r="C286" s="3" t="s">
        <v>16</v>
      </c>
      <c r="D286" s="4">
        <v>1000</v>
      </c>
      <c r="E286" s="40">
        <v>2.68</v>
      </c>
      <c r="F286" s="5">
        <f t="shared" si="4"/>
        <v>5.36</v>
      </c>
      <c r="G286" s="5">
        <f t="shared" si="5"/>
        <v>0.37520000000000003</v>
      </c>
      <c r="H286" s="5">
        <f t="shared" si="6"/>
        <v>-2685.7352</v>
      </c>
    </row>
    <row r="287" spans="2:8" ht="11.25">
      <c r="B287" s="37" t="s">
        <v>299</v>
      </c>
      <c r="C287" s="3" t="s">
        <v>16</v>
      </c>
      <c r="D287" s="4">
        <v>2000</v>
      </c>
      <c r="E287" s="40">
        <v>2.66</v>
      </c>
      <c r="F287" s="5">
        <f t="shared" si="4"/>
        <v>10.64</v>
      </c>
      <c r="G287" s="5">
        <f t="shared" si="5"/>
        <v>0.7448000000000001</v>
      </c>
      <c r="H287" s="5">
        <f t="shared" si="6"/>
        <v>-5331.384800000001</v>
      </c>
    </row>
    <row r="288" spans="2:8" ht="11.25">
      <c r="B288" s="37" t="s">
        <v>320</v>
      </c>
      <c r="C288" s="3" t="s">
        <v>16</v>
      </c>
      <c r="D288" s="4">
        <v>200</v>
      </c>
      <c r="E288" s="40">
        <v>25.25</v>
      </c>
      <c r="F288" s="5">
        <f t="shared" si="4"/>
        <v>10.1</v>
      </c>
      <c r="G288" s="5">
        <f t="shared" si="5"/>
        <v>0.7070000000000001</v>
      </c>
      <c r="H288" s="5">
        <f t="shared" si="6"/>
        <v>-5060.807000000001</v>
      </c>
    </row>
    <row r="289" spans="2:8" ht="11.25">
      <c r="B289" s="37" t="s">
        <v>300</v>
      </c>
      <c r="C289" s="3" t="s">
        <v>16</v>
      </c>
      <c r="D289" s="4">
        <v>1000</v>
      </c>
      <c r="E289" s="40">
        <v>8.95</v>
      </c>
      <c r="F289" s="5">
        <f t="shared" si="4"/>
        <v>17.900000000000002</v>
      </c>
      <c r="G289" s="5">
        <f t="shared" si="5"/>
        <v>1.2530000000000003</v>
      </c>
      <c r="H289" s="5">
        <f t="shared" si="6"/>
        <v>-8969.153</v>
      </c>
    </row>
    <row r="290" spans="1:8" ht="12" thickBot="1">
      <c r="A290" s="6"/>
      <c r="B290" s="42"/>
      <c r="C290" s="6"/>
      <c r="D290" s="7"/>
      <c r="E290" s="43"/>
      <c r="F290" s="8"/>
      <c r="G290" s="13" t="s">
        <v>14</v>
      </c>
      <c r="H290" s="13">
        <f>SUM(H285:H289)</f>
        <v>-25875.254800000002</v>
      </c>
    </row>
    <row r="291" spans="1:10" ht="11.25">
      <c r="A291" s="3" t="s">
        <v>322</v>
      </c>
      <c r="B291" s="37" t="s">
        <v>300</v>
      </c>
      <c r="C291" s="3" t="s">
        <v>33</v>
      </c>
      <c r="D291" s="4">
        <v>1000</v>
      </c>
      <c r="E291" s="40">
        <v>9.1</v>
      </c>
      <c r="F291" s="5">
        <v>25</v>
      </c>
      <c r="G291" s="5">
        <f t="shared" si="5"/>
        <v>1.7500000000000002</v>
      </c>
      <c r="H291" s="5">
        <f t="shared" si="6"/>
        <v>9073.25</v>
      </c>
      <c r="J291" s="10"/>
    </row>
    <row r="292" spans="2:10" ht="11.25">
      <c r="B292" s="37" t="str">
        <f>B288</f>
        <v>UV</v>
      </c>
      <c r="C292" s="3" t="s">
        <v>16</v>
      </c>
      <c r="D292" s="4">
        <v>200</v>
      </c>
      <c r="E292" s="40">
        <v>25.25</v>
      </c>
      <c r="F292" s="5">
        <v>12.5</v>
      </c>
      <c r="G292" s="5">
        <f t="shared" si="5"/>
        <v>0.8750000000000001</v>
      </c>
      <c r="H292" s="5">
        <f t="shared" si="6"/>
        <v>-5063.375</v>
      </c>
      <c r="J292" s="10"/>
    </row>
    <row r="293" spans="2:8" ht="11.25">
      <c r="B293" s="37" t="str">
        <f>B288</f>
        <v>UV</v>
      </c>
      <c r="C293" s="3" t="s">
        <v>16</v>
      </c>
      <c r="D293" s="4">
        <v>200</v>
      </c>
      <c r="E293" s="40">
        <v>25</v>
      </c>
      <c r="F293" s="5">
        <v>12.5</v>
      </c>
      <c r="G293" s="5">
        <f t="shared" si="5"/>
        <v>0.8750000000000001</v>
      </c>
      <c r="H293" s="5">
        <f t="shared" si="6"/>
        <v>-5013.375</v>
      </c>
    </row>
    <row r="294" spans="1:10" ht="12" thickBot="1">
      <c r="A294" s="6"/>
      <c r="B294" s="42"/>
      <c r="C294" s="6"/>
      <c r="D294" s="7"/>
      <c r="E294" s="43"/>
      <c r="F294" s="8"/>
      <c r="G294" s="13" t="s">
        <v>14</v>
      </c>
      <c r="H294" s="13">
        <f>SUM(H291:H293)</f>
        <v>-1003.5</v>
      </c>
      <c r="J294" s="10"/>
    </row>
    <row r="295" spans="1:8" ht="11.25">
      <c r="A295" s="3" t="s">
        <v>325</v>
      </c>
      <c r="B295" s="37" t="s">
        <v>299</v>
      </c>
      <c r="C295" s="3" t="s">
        <v>33</v>
      </c>
      <c r="D295" s="4">
        <v>3000</v>
      </c>
      <c r="E295" s="40">
        <v>2.86</v>
      </c>
      <c r="F295" s="5">
        <f>($D295*$E295)*0.002</f>
        <v>17.16</v>
      </c>
      <c r="G295" s="5">
        <f t="shared" si="5"/>
        <v>1.2012</v>
      </c>
      <c r="H295" s="5">
        <f t="shared" si="6"/>
        <v>8561.6388</v>
      </c>
    </row>
    <row r="296" spans="2:8" ht="11.25">
      <c r="B296" s="37" t="s">
        <v>300</v>
      </c>
      <c r="C296" s="3" t="s">
        <v>16</v>
      </c>
      <c r="D296" s="4">
        <v>1000</v>
      </c>
      <c r="E296" s="40">
        <v>9</v>
      </c>
      <c r="F296" s="5">
        <f>($D296*$E296)*0.002</f>
        <v>18</v>
      </c>
      <c r="G296" s="5">
        <f t="shared" si="5"/>
        <v>1.2600000000000002</v>
      </c>
      <c r="H296" s="5">
        <f t="shared" si="6"/>
        <v>-9019.26</v>
      </c>
    </row>
    <row r="297" spans="2:8" ht="11.25">
      <c r="B297" s="37" t="s">
        <v>300</v>
      </c>
      <c r="C297" s="3" t="s">
        <v>16</v>
      </c>
      <c r="D297" s="4">
        <v>1000</v>
      </c>
      <c r="E297" s="40">
        <v>8.9</v>
      </c>
      <c r="F297" s="5">
        <f>($D297*$E297)*0.002</f>
        <v>17.8</v>
      </c>
      <c r="G297" s="5">
        <f t="shared" si="5"/>
        <v>1.2460000000000002</v>
      </c>
      <c r="H297" s="5">
        <f t="shared" si="6"/>
        <v>-8919.045999999998</v>
      </c>
    </row>
    <row r="298" spans="2:8" ht="11.25">
      <c r="B298" s="37" t="s">
        <v>279</v>
      </c>
      <c r="C298" s="3" t="s">
        <v>16</v>
      </c>
      <c r="D298" s="4">
        <v>1000</v>
      </c>
      <c r="E298" s="40">
        <v>8.7</v>
      </c>
      <c r="F298" s="5">
        <f>($D298*$E298)*0.002</f>
        <v>17.400000000000002</v>
      </c>
      <c r="G298" s="5">
        <f t="shared" si="5"/>
        <v>1.2180000000000002</v>
      </c>
      <c r="H298" s="5">
        <f t="shared" si="6"/>
        <v>-8718.618</v>
      </c>
    </row>
    <row r="299" spans="1:8" ht="12" thickBot="1">
      <c r="A299" s="6"/>
      <c r="B299" s="42"/>
      <c r="C299" s="6"/>
      <c r="D299" s="7"/>
      <c r="E299" s="43"/>
      <c r="F299" s="8"/>
      <c r="G299" s="13" t="s">
        <v>14</v>
      </c>
      <c r="H299" s="13">
        <f>SUM(H295:H298)</f>
        <v>-18095.2852</v>
      </c>
    </row>
    <row r="300" spans="1:8" ht="11.25">
      <c r="A300" s="3" t="s">
        <v>327</v>
      </c>
      <c r="B300" s="37" t="s">
        <v>279</v>
      </c>
      <c r="C300" s="3" t="s">
        <v>16</v>
      </c>
      <c r="D300" s="4">
        <v>1000</v>
      </c>
      <c r="E300" s="40">
        <v>8.3</v>
      </c>
      <c r="F300" s="5">
        <f>($D300*$E300)*0.002</f>
        <v>16.6</v>
      </c>
      <c r="G300" s="5">
        <f t="shared" si="5"/>
        <v>1.1620000000000001</v>
      </c>
      <c r="H300" s="5">
        <f t="shared" si="6"/>
        <v>-8317.762</v>
      </c>
    </row>
    <row r="301" spans="2:10" ht="11.25">
      <c r="B301" s="37" t="s">
        <v>328</v>
      </c>
      <c r="C301" s="3" t="s">
        <v>16</v>
      </c>
      <c r="D301" s="4">
        <v>200</v>
      </c>
      <c r="E301" s="40">
        <v>27.5</v>
      </c>
      <c r="F301" s="5">
        <f>($D301*$E301)*0.002</f>
        <v>11</v>
      </c>
      <c r="G301" s="5">
        <f t="shared" si="5"/>
        <v>0.77</v>
      </c>
      <c r="H301" s="5">
        <f t="shared" si="6"/>
        <v>-5511.77</v>
      </c>
      <c r="J301" s="10"/>
    </row>
    <row r="302" spans="2:8" ht="11.25">
      <c r="B302" s="37" t="s">
        <v>300</v>
      </c>
      <c r="C302" s="3" t="s">
        <v>33</v>
      </c>
      <c r="D302" s="4">
        <v>1000</v>
      </c>
      <c r="E302" s="40">
        <v>8.95</v>
      </c>
      <c r="F302" s="5">
        <f>($D302*$E302)*0.002</f>
        <v>17.900000000000002</v>
      </c>
      <c r="G302" s="5">
        <f t="shared" si="5"/>
        <v>1.2530000000000003</v>
      </c>
      <c r="H302" s="5">
        <f t="shared" si="6"/>
        <v>8930.847</v>
      </c>
    </row>
    <row r="303" spans="2:8" ht="11.25">
      <c r="B303" s="37" t="s">
        <v>300</v>
      </c>
      <c r="C303" s="3" t="s">
        <v>33</v>
      </c>
      <c r="D303" s="4">
        <v>2000</v>
      </c>
      <c r="E303" s="40">
        <v>9</v>
      </c>
      <c r="F303" s="5">
        <f>($D303*$E303)*0.002</f>
        <v>36</v>
      </c>
      <c r="G303" s="5">
        <f t="shared" si="5"/>
        <v>2.5200000000000005</v>
      </c>
      <c r="H303" s="5">
        <f t="shared" si="6"/>
        <v>17961.48</v>
      </c>
    </row>
    <row r="304" spans="1:8" ht="12" thickBot="1">
      <c r="A304" s="6"/>
      <c r="B304" s="42"/>
      <c r="C304" s="6"/>
      <c r="D304" s="7"/>
      <c r="E304" s="43"/>
      <c r="F304" s="8"/>
      <c r="G304" s="14" t="s">
        <v>34</v>
      </c>
      <c r="H304" s="14">
        <f>SUM(H300:H303)</f>
        <v>13062.794999999998</v>
      </c>
    </row>
    <row r="305" spans="1:10" ht="11.25">
      <c r="A305" s="3" t="s">
        <v>330</v>
      </c>
      <c r="B305" s="37" t="s">
        <v>328</v>
      </c>
      <c r="C305" s="3" t="s">
        <v>33</v>
      </c>
      <c r="D305" s="4">
        <v>200</v>
      </c>
      <c r="E305" s="40">
        <v>28</v>
      </c>
      <c r="F305" s="5">
        <v>40</v>
      </c>
      <c r="G305" s="5">
        <f t="shared" si="5"/>
        <v>2.8000000000000003</v>
      </c>
      <c r="H305" s="5">
        <f t="shared" si="6"/>
        <v>5557.2</v>
      </c>
      <c r="J305" s="11">
        <f>SUM(H305,H301)</f>
        <v>45.42999999999938</v>
      </c>
    </row>
    <row r="306" spans="2:8" ht="11.25">
      <c r="B306" s="37" t="s">
        <v>331</v>
      </c>
      <c r="C306" s="3" t="s">
        <v>16</v>
      </c>
      <c r="D306" s="4">
        <v>2000</v>
      </c>
      <c r="E306" s="40">
        <v>2.5</v>
      </c>
      <c r="F306" s="5">
        <f>($D306*$E306)*0.002</f>
        <v>10</v>
      </c>
      <c r="G306" s="5">
        <f t="shared" si="5"/>
        <v>0.7000000000000001</v>
      </c>
      <c r="H306" s="5">
        <f t="shared" si="6"/>
        <v>-5010.7</v>
      </c>
    </row>
    <row r="307" spans="1:8" ht="12" thickBot="1">
      <c r="A307" s="6"/>
      <c r="B307" s="42"/>
      <c r="C307" s="6"/>
      <c r="D307" s="7"/>
      <c r="E307" s="43"/>
      <c r="F307" s="8"/>
      <c r="G307" s="14" t="s">
        <v>34</v>
      </c>
      <c r="H307" s="14">
        <f>SUM(H305:H306)</f>
        <v>546.5</v>
      </c>
    </row>
    <row r="308" spans="1:10" ht="11.25">
      <c r="A308" s="3" t="s">
        <v>333</v>
      </c>
      <c r="B308" s="37" t="s">
        <v>223</v>
      </c>
      <c r="C308" s="3" t="s">
        <v>33</v>
      </c>
      <c r="D308" s="4">
        <v>1200</v>
      </c>
      <c r="E308" s="40">
        <v>19.9</v>
      </c>
      <c r="F308" s="5">
        <f>($D308*$E308)*0.002</f>
        <v>47.76</v>
      </c>
      <c r="G308" s="5">
        <f t="shared" si="5"/>
        <v>3.3432000000000004</v>
      </c>
      <c r="H308" s="5">
        <f>IF($C308="BUY",(($D308*$E308)+$F308+$G308)*(-1),IF($C308="SELL",($D308*$E308)-$F308-$G308))</f>
        <v>23828.896800000002</v>
      </c>
      <c r="J308" s="11">
        <f>SUM(H308,H285,H281)</f>
        <v>1160.4900000000016</v>
      </c>
    </row>
    <row r="309" spans="2:8" ht="11.25">
      <c r="B309" s="37" t="s">
        <v>299</v>
      </c>
      <c r="C309" s="3" t="s">
        <v>16</v>
      </c>
      <c r="D309" s="4">
        <v>3000</v>
      </c>
      <c r="E309" s="40">
        <v>2.88</v>
      </c>
      <c r="F309" s="5">
        <f>($D309*$E309)*0.002</f>
        <v>17.28</v>
      </c>
      <c r="G309" s="5">
        <f t="shared" si="5"/>
        <v>1.2096000000000002</v>
      </c>
      <c r="H309" s="5">
        <f>IF($C309="BUY",(($D309*$E309)+$F309+$G309)*(-1),IF($C309="SELL",($D309*$E309)-$F309-$G309))</f>
        <v>-8658.4896</v>
      </c>
    </row>
    <row r="310" spans="2:8" ht="11.25">
      <c r="B310" s="37" t="s">
        <v>335</v>
      </c>
      <c r="C310" s="3" t="s">
        <v>16</v>
      </c>
      <c r="D310" s="4">
        <v>500</v>
      </c>
      <c r="E310" s="40">
        <v>17.5</v>
      </c>
      <c r="F310" s="5">
        <f>($D310*$E310)*0.002</f>
        <v>17.5</v>
      </c>
      <c r="G310" s="5">
        <f t="shared" si="5"/>
        <v>1.225</v>
      </c>
      <c r="H310" s="5">
        <f>IF($C310="BUY",(($D310*$E310)+$F310+$G310)*(-1),IF($C310="SELL",($D310*$E310)-$F310-$G310))</f>
        <v>-8768.725</v>
      </c>
    </row>
    <row r="311" spans="2:8" ht="11.25">
      <c r="B311" s="37" t="s">
        <v>334</v>
      </c>
      <c r="C311" s="3" t="s">
        <v>16</v>
      </c>
      <c r="D311" s="4">
        <v>500</v>
      </c>
      <c r="E311" s="40">
        <v>25.75</v>
      </c>
      <c r="F311" s="5">
        <f>($D311*$E311)*0.002</f>
        <v>25.75</v>
      </c>
      <c r="G311" s="5">
        <f t="shared" si="5"/>
        <v>1.8025000000000002</v>
      </c>
      <c r="H311" s="5">
        <f>IF($C311="BUY",(($D311*$E311)+$F311+$G311)*(-1),IF($C311="SELL",($D311*$E311)-$F311-$G311))</f>
        <v>-12902.5525</v>
      </c>
    </row>
    <row r="312" spans="1:8" ht="12" thickBot="1">
      <c r="A312" s="6"/>
      <c r="B312" s="42"/>
      <c r="C312" s="6"/>
      <c r="D312" s="7"/>
      <c r="E312" s="43"/>
      <c r="F312" s="8"/>
      <c r="G312" s="13" t="s">
        <v>14</v>
      </c>
      <c r="H312" s="13">
        <f>SUM(H308:H311)</f>
        <v>-6500.870299999999</v>
      </c>
    </row>
    <row r="313" spans="1:8" ht="11.25">
      <c r="A313" s="3" t="s">
        <v>337</v>
      </c>
      <c r="B313" s="37" t="s">
        <v>299</v>
      </c>
      <c r="C313" s="3" t="s">
        <v>33</v>
      </c>
      <c r="D313" s="4">
        <v>2500</v>
      </c>
      <c r="E313" s="40">
        <v>3.08</v>
      </c>
      <c r="F313" s="5">
        <f>($D313*$E313)*0.002</f>
        <v>15.4</v>
      </c>
      <c r="G313" s="5">
        <f t="shared" si="5"/>
        <v>1.078</v>
      </c>
      <c r="H313" s="5">
        <f>IF($C313="BUY",(($D313*$E313)+$F313+$G313)*(-1),IF($C313="SELL",($D313*$E313)-$F313-$G313))</f>
        <v>7683.522</v>
      </c>
    </row>
    <row r="314" spans="2:10" ht="11.25">
      <c r="B314" s="37" t="s">
        <v>335</v>
      </c>
      <c r="C314" s="3" t="s">
        <v>33</v>
      </c>
      <c r="D314" s="4">
        <v>500</v>
      </c>
      <c r="E314" s="40">
        <v>17.9</v>
      </c>
      <c r="F314" s="5">
        <f>($D314*$E314)*0.002</f>
        <v>17.900000000000002</v>
      </c>
      <c r="G314" s="5">
        <f t="shared" si="5"/>
        <v>1.2530000000000003</v>
      </c>
      <c r="H314" s="5">
        <f>IF($C314="BUY",(($D314*$E314)+$F314+$G314)*(-1),IF($C314="SELL",($D314*$E314)-$F314-$G314))</f>
        <v>8930.847</v>
      </c>
      <c r="J314" s="11">
        <f>SUM(H314,H310)</f>
        <v>162.1219999999994</v>
      </c>
    </row>
    <row r="315" spans="2:8" ht="11.25">
      <c r="B315" s="37" t="s">
        <v>299</v>
      </c>
      <c r="C315" s="3" t="s">
        <v>16</v>
      </c>
      <c r="D315" s="4">
        <v>4000</v>
      </c>
      <c r="E315" s="40">
        <v>3.04</v>
      </c>
      <c r="F315" s="5">
        <f>($D315*$E315)*0.002</f>
        <v>24.32</v>
      </c>
      <c r="G315" s="5">
        <f t="shared" si="5"/>
        <v>1.7024000000000001</v>
      </c>
      <c r="H315" s="5">
        <f>IF($C315="BUY",(($D315*$E315)+$F315+$G315)*(-1),IF($C315="SELL",($D315*$E315)-$F315-$G315))</f>
        <v>-12186.0224</v>
      </c>
    </row>
    <row r="316" spans="1:8" ht="12" thickBot="1">
      <c r="A316" s="6"/>
      <c r="B316" s="42"/>
      <c r="C316" s="6"/>
      <c r="D316" s="7"/>
      <c r="E316" s="43"/>
      <c r="F316" s="8"/>
      <c r="G316" s="14" t="s">
        <v>34</v>
      </c>
      <c r="H316" s="14">
        <f>SUM(H313:H315)</f>
        <v>4428.346599999999</v>
      </c>
    </row>
    <row r="317" spans="1:8" ht="11.25">
      <c r="A317" s="3" t="s">
        <v>339</v>
      </c>
      <c r="B317" s="37" t="s">
        <v>340</v>
      </c>
      <c r="C317" s="3" t="s">
        <v>16</v>
      </c>
      <c r="D317" s="4">
        <v>600</v>
      </c>
      <c r="E317" s="40">
        <v>19</v>
      </c>
      <c r="F317" s="5">
        <f aca="true" t="shared" si="7" ref="F317:F327">($D317*$E317)*0.002</f>
        <v>22.8</v>
      </c>
      <c r="G317" s="5">
        <f t="shared" si="5"/>
        <v>1.5960000000000003</v>
      </c>
      <c r="H317" s="5">
        <f aca="true" t="shared" si="8" ref="H317:H353">IF($C317="BUY",(($D317*$E317)+$F317+$G317)*(-1),IF($C317="SELL",($D317*$E317)-$F317-$G317))</f>
        <v>-11424.395999999999</v>
      </c>
    </row>
    <row r="318" spans="2:10" ht="11.25">
      <c r="B318" s="37" t="s">
        <v>340</v>
      </c>
      <c r="C318" s="3" t="s">
        <v>33</v>
      </c>
      <c r="D318" s="4">
        <v>600</v>
      </c>
      <c r="E318" s="40">
        <v>19.2</v>
      </c>
      <c r="F318" s="5">
        <f t="shared" si="7"/>
        <v>23.04</v>
      </c>
      <c r="G318" s="5">
        <f t="shared" si="5"/>
        <v>1.6128</v>
      </c>
      <c r="H318" s="5">
        <f t="shared" si="8"/>
        <v>11495.347199999998</v>
      </c>
      <c r="J318" s="11">
        <f>SUM(H318,H317)</f>
        <v>70.95119999999952</v>
      </c>
    </row>
    <row r="319" spans="2:8" ht="11.25">
      <c r="B319" s="37" t="s">
        <v>279</v>
      </c>
      <c r="C319" s="3" t="s">
        <v>33</v>
      </c>
      <c r="D319" s="4">
        <v>1000</v>
      </c>
      <c r="E319" s="40">
        <v>9</v>
      </c>
      <c r="F319" s="5">
        <f t="shared" si="7"/>
        <v>18</v>
      </c>
      <c r="G319" s="5">
        <f t="shared" si="5"/>
        <v>1.2600000000000002</v>
      </c>
      <c r="H319" s="5">
        <f t="shared" si="8"/>
        <v>8980.74</v>
      </c>
    </row>
    <row r="320" spans="2:8" ht="11.25">
      <c r="B320" s="37" t="s">
        <v>299</v>
      </c>
      <c r="C320" s="3" t="s">
        <v>33</v>
      </c>
      <c r="D320" s="4">
        <v>2500</v>
      </c>
      <c r="E320" s="40">
        <v>3.12</v>
      </c>
      <c r="F320" s="5">
        <f t="shared" si="7"/>
        <v>15.6</v>
      </c>
      <c r="G320" s="5">
        <f t="shared" si="5"/>
        <v>1.092</v>
      </c>
      <c r="H320" s="5">
        <f t="shared" si="8"/>
        <v>7783.308</v>
      </c>
    </row>
    <row r="321" spans="2:10" ht="11.25">
      <c r="B321" s="37" t="s">
        <v>279</v>
      </c>
      <c r="C321" s="3" t="s">
        <v>33</v>
      </c>
      <c r="D321" s="4">
        <v>1000</v>
      </c>
      <c r="E321" s="40">
        <v>9.05</v>
      </c>
      <c r="F321" s="5">
        <f t="shared" si="7"/>
        <v>18.1</v>
      </c>
      <c r="G321" s="5">
        <f t="shared" si="5"/>
        <v>1.2670000000000001</v>
      </c>
      <c r="H321" s="5">
        <f t="shared" si="8"/>
        <v>9030.633</v>
      </c>
      <c r="J321" s="11">
        <f>SUM(H321,H319,H300,H298,)</f>
        <v>974.9929999999986</v>
      </c>
    </row>
    <row r="322" spans="2:8" ht="11.25">
      <c r="B322" s="37" t="s">
        <v>299</v>
      </c>
      <c r="C322" s="3" t="s">
        <v>33</v>
      </c>
      <c r="D322" s="4">
        <v>5000</v>
      </c>
      <c r="E322" s="40">
        <v>3.2</v>
      </c>
      <c r="F322" s="5">
        <f t="shared" si="7"/>
        <v>32</v>
      </c>
      <c r="G322" s="5">
        <f t="shared" si="5"/>
        <v>2.24</v>
      </c>
      <c r="H322" s="5">
        <f t="shared" si="8"/>
        <v>15965.76</v>
      </c>
    </row>
    <row r="323" spans="2:10" ht="11.25">
      <c r="B323" s="37" t="s">
        <v>299</v>
      </c>
      <c r="C323" s="3" t="s">
        <v>33</v>
      </c>
      <c r="D323" s="4">
        <v>2000</v>
      </c>
      <c r="E323" s="40">
        <v>3.24</v>
      </c>
      <c r="F323" s="5">
        <f t="shared" si="7"/>
        <v>12.96</v>
      </c>
      <c r="G323" s="5">
        <f t="shared" si="5"/>
        <v>0.9072000000000001</v>
      </c>
      <c r="H323" s="5">
        <f t="shared" si="8"/>
        <v>6466.1328</v>
      </c>
      <c r="J323" s="10"/>
    </row>
    <row r="324" spans="2:10" ht="11.25">
      <c r="B324" s="37" t="s">
        <v>331</v>
      </c>
      <c r="C324" s="3" t="s">
        <v>33</v>
      </c>
      <c r="D324" s="4">
        <v>2000</v>
      </c>
      <c r="E324" s="40">
        <v>2.8</v>
      </c>
      <c r="F324" s="5">
        <f t="shared" si="7"/>
        <v>11.200000000000001</v>
      </c>
      <c r="G324" s="5">
        <f t="shared" si="5"/>
        <v>0.7840000000000001</v>
      </c>
      <c r="H324" s="5">
        <f t="shared" si="8"/>
        <v>5588.0160000000005</v>
      </c>
      <c r="J324" s="11">
        <f>SUM(H324,H306)</f>
        <v>577.3160000000007</v>
      </c>
    </row>
    <row r="325" spans="2:8" ht="11.25">
      <c r="B325" s="37" t="s">
        <v>334</v>
      </c>
      <c r="C325" s="3" t="s">
        <v>16</v>
      </c>
      <c r="D325" s="4">
        <v>300</v>
      </c>
      <c r="E325" s="40">
        <v>26.5</v>
      </c>
      <c r="F325" s="5">
        <f t="shared" si="7"/>
        <v>15.9</v>
      </c>
      <c r="G325" s="5">
        <f t="shared" si="5"/>
        <v>1.1130000000000002</v>
      </c>
      <c r="H325" s="5">
        <f t="shared" si="8"/>
        <v>-7967.013</v>
      </c>
    </row>
    <row r="326" spans="2:8" ht="11.25">
      <c r="B326" s="37" t="s">
        <v>331</v>
      </c>
      <c r="C326" s="3" t="s">
        <v>16</v>
      </c>
      <c r="D326" s="4">
        <v>1000</v>
      </c>
      <c r="E326" s="40">
        <v>2.64</v>
      </c>
      <c r="F326" s="5">
        <f t="shared" si="7"/>
        <v>5.28</v>
      </c>
      <c r="G326" s="5">
        <f t="shared" si="5"/>
        <v>0.36960000000000004</v>
      </c>
      <c r="H326" s="5">
        <f t="shared" si="8"/>
        <v>-2645.6496</v>
      </c>
    </row>
    <row r="327" spans="2:8" ht="11.25">
      <c r="B327" s="37" t="s">
        <v>331</v>
      </c>
      <c r="C327" s="3" t="s">
        <v>16</v>
      </c>
      <c r="D327" s="4">
        <v>1000</v>
      </c>
      <c r="E327" s="40">
        <v>2.56</v>
      </c>
      <c r="F327" s="5">
        <f t="shared" si="7"/>
        <v>5.12</v>
      </c>
      <c r="G327" s="5">
        <f t="shared" si="5"/>
        <v>0.35840000000000005</v>
      </c>
      <c r="H327" s="5">
        <f t="shared" si="8"/>
        <v>-2565.4784</v>
      </c>
    </row>
    <row r="328" spans="1:8" ht="12" thickBot="1">
      <c r="A328" s="6"/>
      <c r="B328" s="42"/>
      <c r="C328" s="6"/>
      <c r="D328" s="7"/>
      <c r="E328" s="43"/>
      <c r="F328" s="8"/>
      <c r="G328" s="14" t="s">
        <v>34</v>
      </c>
      <c r="H328" s="14">
        <f>SUM(H317:H327)</f>
        <v>40707.40000000001</v>
      </c>
    </row>
    <row r="329" spans="1:8" ht="11.25">
      <c r="A329" s="3" t="s">
        <v>342</v>
      </c>
      <c r="B329" s="37" t="s">
        <v>299</v>
      </c>
      <c r="C329" s="3" t="s">
        <v>33</v>
      </c>
      <c r="D329" s="4">
        <v>1000</v>
      </c>
      <c r="E329" s="40">
        <v>3.08</v>
      </c>
      <c r="F329" s="5">
        <v>8.99</v>
      </c>
      <c r="G329" s="5">
        <f t="shared" si="5"/>
        <v>0.6293000000000001</v>
      </c>
      <c r="H329" s="5">
        <f t="shared" si="8"/>
        <v>3070.3807</v>
      </c>
    </row>
    <row r="330" spans="2:10" ht="11.25">
      <c r="B330" s="37" t="s">
        <v>299</v>
      </c>
      <c r="C330" s="3" t="s">
        <v>33</v>
      </c>
      <c r="D330" s="4">
        <v>1000</v>
      </c>
      <c r="E330" s="40">
        <v>3.12</v>
      </c>
      <c r="F330" s="5">
        <v>9.07</v>
      </c>
      <c r="G330" s="5">
        <f t="shared" si="5"/>
        <v>0.6349000000000001</v>
      </c>
      <c r="H330" s="5">
        <f t="shared" si="8"/>
        <v>3110.2951</v>
      </c>
      <c r="J330" s="11">
        <f>SUM(H329:H330,H322:H323,H320,H315,H313,H309,H295,H287,H286,H275,H270,H265,H259,)</f>
        <v>5765.263399999996</v>
      </c>
    </row>
    <row r="331" spans="2:8" ht="11.25">
      <c r="B331" s="37" t="s">
        <v>343</v>
      </c>
      <c r="C331" s="3" t="s">
        <v>16</v>
      </c>
      <c r="D331" s="4">
        <v>100</v>
      </c>
      <c r="E331" s="40">
        <v>26.5</v>
      </c>
      <c r="F331" s="5">
        <v>8.13</v>
      </c>
      <c r="G331" s="5">
        <f t="shared" si="5"/>
        <v>0.5691000000000002</v>
      </c>
      <c r="H331" s="5">
        <f t="shared" si="8"/>
        <v>-2658.6991000000003</v>
      </c>
    </row>
    <row r="332" spans="2:8" ht="11.25">
      <c r="B332" s="37" t="s">
        <v>320</v>
      </c>
      <c r="C332" s="3" t="s">
        <v>16</v>
      </c>
      <c r="D332" s="4">
        <v>200</v>
      </c>
      <c r="E332" s="40">
        <v>25.25</v>
      </c>
      <c r="F332" s="5">
        <v>15.78</v>
      </c>
      <c r="G332" s="5">
        <f t="shared" si="5"/>
        <v>1.1046</v>
      </c>
      <c r="H332" s="5">
        <f t="shared" si="8"/>
        <v>-5066.884599999999</v>
      </c>
    </row>
    <row r="333" spans="2:8" ht="11.25">
      <c r="B333" s="37" t="s">
        <v>334</v>
      </c>
      <c r="C333" s="3" t="s">
        <v>16</v>
      </c>
      <c r="D333" s="4">
        <v>100</v>
      </c>
      <c r="E333" s="40">
        <v>26</v>
      </c>
      <c r="F333" s="5">
        <v>8.03</v>
      </c>
      <c r="G333" s="5">
        <f t="shared" si="5"/>
        <v>0.5621</v>
      </c>
      <c r="H333" s="5">
        <f t="shared" si="8"/>
        <v>-2608.5921000000003</v>
      </c>
    </row>
    <row r="334" spans="1:8" ht="12" thickBot="1">
      <c r="A334" s="6"/>
      <c r="B334" s="42"/>
      <c r="C334" s="6"/>
      <c r="D334" s="7"/>
      <c r="E334" s="43"/>
      <c r="F334" s="8"/>
      <c r="G334" s="13" t="s">
        <v>14</v>
      </c>
      <c r="H334" s="13">
        <f>SUM(H329:H333)</f>
        <v>-4153.5</v>
      </c>
    </row>
    <row r="335" spans="1:8" ht="11.25">
      <c r="A335" s="3" t="s">
        <v>345</v>
      </c>
      <c r="B335" s="37" t="s">
        <v>346</v>
      </c>
      <c r="C335" s="3" t="s">
        <v>16</v>
      </c>
      <c r="D335" s="4">
        <v>2500</v>
      </c>
      <c r="E335" s="40">
        <v>5.05</v>
      </c>
      <c r="F335" s="5">
        <f aca="true" t="shared" si="9" ref="F335:F341">($D335*$E335)*0.002</f>
        <v>25.25</v>
      </c>
      <c r="G335" s="5">
        <f t="shared" si="5"/>
        <v>1.7675</v>
      </c>
      <c r="H335" s="5">
        <f t="shared" si="8"/>
        <v>-12652.0175</v>
      </c>
    </row>
    <row r="336" spans="2:10" ht="11.25">
      <c r="B336" s="37" t="s">
        <v>346</v>
      </c>
      <c r="C336" s="3" t="s">
        <v>33</v>
      </c>
      <c r="D336" s="4">
        <v>1000</v>
      </c>
      <c r="E336" s="40">
        <v>4.96</v>
      </c>
      <c r="F336" s="5">
        <f t="shared" si="9"/>
        <v>9.92</v>
      </c>
      <c r="G336" s="5">
        <f t="shared" si="5"/>
        <v>0.6944</v>
      </c>
      <c r="H336" s="5">
        <f t="shared" si="8"/>
        <v>4949.3856</v>
      </c>
      <c r="J336" s="10"/>
    </row>
    <row r="337" spans="2:10" ht="11.25">
      <c r="B337" s="37" t="s">
        <v>346</v>
      </c>
      <c r="C337" s="3" t="s">
        <v>33</v>
      </c>
      <c r="D337" s="4">
        <v>1500</v>
      </c>
      <c r="E337" s="40">
        <v>4.98</v>
      </c>
      <c r="F337" s="5">
        <f t="shared" si="9"/>
        <v>14.940000000000001</v>
      </c>
      <c r="G337" s="5">
        <f t="shared" si="5"/>
        <v>1.0458000000000003</v>
      </c>
      <c r="H337" s="5">
        <f t="shared" si="8"/>
        <v>7454.014200000001</v>
      </c>
      <c r="J337" s="18">
        <f>SUM(H335:H337)</f>
        <v>-248.61769999999888</v>
      </c>
    </row>
    <row r="338" spans="2:8" ht="11.25">
      <c r="B338" s="37" t="s">
        <v>343</v>
      </c>
      <c r="C338" s="3" t="s">
        <v>16</v>
      </c>
      <c r="D338" s="4">
        <v>300</v>
      </c>
      <c r="E338" s="40">
        <v>26.75</v>
      </c>
      <c r="F338" s="5">
        <f t="shared" si="9"/>
        <v>16.05</v>
      </c>
      <c r="G338" s="5">
        <f t="shared" si="5"/>
        <v>1.1235000000000002</v>
      </c>
      <c r="H338" s="5">
        <f t="shared" si="8"/>
        <v>-8042.1735</v>
      </c>
    </row>
    <row r="339" spans="2:8" ht="11.25">
      <c r="B339" s="37" t="s">
        <v>334</v>
      </c>
      <c r="C339" s="3" t="s">
        <v>33</v>
      </c>
      <c r="D339" s="4">
        <v>200</v>
      </c>
      <c r="E339" s="40">
        <v>26.75</v>
      </c>
      <c r="F339" s="5">
        <f t="shared" si="9"/>
        <v>10.700000000000001</v>
      </c>
      <c r="G339" s="5">
        <f t="shared" si="5"/>
        <v>0.7490000000000001</v>
      </c>
      <c r="H339" s="5">
        <f t="shared" si="8"/>
        <v>5338.551</v>
      </c>
    </row>
    <row r="340" spans="2:8" ht="11.25">
      <c r="B340" s="37" t="s">
        <v>299</v>
      </c>
      <c r="C340" s="3" t="s">
        <v>16</v>
      </c>
      <c r="D340" s="4">
        <v>1500</v>
      </c>
      <c r="E340" s="40">
        <v>3.06</v>
      </c>
      <c r="F340" s="5">
        <f t="shared" si="9"/>
        <v>9.18</v>
      </c>
      <c r="G340" s="5">
        <f t="shared" si="5"/>
        <v>0.6426000000000001</v>
      </c>
      <c r="H340" s="5">
        <f t="shared" si="8"/>
        <v>-4599.8226</v>
      </c>
    </row>
    <row r="341" spans="2:8" ht="11.25">
      <c r="B341" s="37" t="s">
        <v>335</v>
      </c>
      <c r="C341" s="3" t="s">
        <v>16</v>
      </c>
      <c r="D341" s="4">
        <v>600</v>
      </c>
      <c r="E341" s="40">
        <v>17.5</v>
      </c>
      <c r="F341" s="5">
        <f t="shared" si="9"/>
        <v>21</v>
      </c>
      <c r="G341" s="5">
        <f t="shared" si="5"/>
        <v>1.4700000000000002</v>
      </c>
      <c r="H341" s="5">
        <f t="shared" si="8"/>
        <v>-10522.47</v>
      </c>
    </row>
    <row r="342" spans="1:10" ht="12" thickBot="1">
      <c r="A342" s="6"/>
      <c r="B342" s="42"/>
      <c r="C342" s="6"/>
      <c r="D342" s="7"/>
      <c r="E342" s="43"/>
      <c r="F342" s="8"/>
      <c r="G342" s="13" t="s">
        <v>14</v>
      </c>
      <c r="H342" s="13">
        <f>SUM(H335:H341)</f>
        <v>-18074.5328</v>
      </c>
      <c r="J342" s="10"/>
    </row>
    <row r="343" spans="1:8" ht="11.25">
      <c r="A343" s="3" t="s">
        <v>348</v>
      </c>
      <c r="B343" s="37" t="s">
        <v>335</v>
      </c>
      <c r="C343" s="3" t="s">
        <v>33</v>
      </c>
      <c r="D343" s="4">
        <v>200</v>
      </c>
      <c r="E343" s="40">
        <v>17.4</v>
      </c>
      <c r="F343" s="5">
        <f>($D343*$E343)*0.002+4.15</f>
        <v>11.11</v>
      </c>
      <c r="G343" s="5">
        <f t="shared" si="5"/>
        <v>0.7777000000000001</v>
      </c>
      <c r="H343" s="5">
        <f t="shared" si="8"/>
        <v>3468.1122999999993</v>
      </c>
    </row>
    <row r="344" spans="2:10" ht="11.25">
      <c r="B344" s="37" t="s">
        <v>279</v>
      </c>
      <c r="C344" s="3" t="s">
        <v>16</v>
      </c>
      <c r="D344" s="4">
        <v>1000</v>
      </c>
      <c r="E344" s="40">
        <v>8.5</v>
      </c>
      <c r="F344" s="5">
        <f>($D344*$E344)*0.002+12.46</f>
        <v>29.46</v>
      </c>
      <c r="G344" s="5">
        <f t="shared" si="5"/>
        <v>2.0622000000000003</v>
      </c>
      <c r="H344" s="5">
        <f t="shared" si="8"/>
        <v>-8531.5222</v>
      </c>
      <c r="J344" s="10"/>
    </row>
    <row r="345" spans="2:8" ht="11.25">
      <c r="B345" s="37" t="s">
        <v>331</v>
      </c>
      <c r="C345" s="3" t="s">
        <v>16</v>
      </c>
      <c r="D345" s="4">
        <v>1000</v>
      </c>
      <c r="E345" s="40">
        <v>2.64</v>
      </c>
      <c r="F345" s="5">
        <f>($D345*$E345)*0.002+4.15</f>
        <v>9.43</v>
      </c>
      <c r="G345" s="5">
        <f t="shared" si="5"/>
        <v>0.6601</v>
      </c>
      <c r="H345" s="5">
        <f t="shared" si="8"/>
        <v>-2650.0901</v>
      </c>
    </row>
    <row r="346" spans="1:8" ht="12" thickBot="1">
      <c r="A346" s="6"/>
      <c r="B346" s="42"/>
      <c r="C346" s="6"/>
      <c r="D346" s="7"/>
      <c r="E346" s="43"/>
      <c r="F346" s="8"/>
      <c r="G346" s="13" t="s">
        <v>14</v>
      </c>
      <c r="H346" s="13">
        <f>SUM(H343:H345)</f>
        <v>-7713.5</v>
      </c>
    </row>
    <row r="347" spans="1:10" ht="11.25">
      <c r="A347" s="3" t="s">
        <v>350</v>
      </c>
      <c r="B347" s="37" t="s">
        <v>334</v>
      </c>
      <c r="C347" s="3" t="s">
        <v>33</v>
      </c>
      <c r="D347" s="4">
        <v>400</v>
      </c>
      <c r="E347" s="40">
        <v>26.5</v>
      </c>
      <c r="F347" s="5">
        <f aca="true" t="shared" si="10" ref="F347:F373">($D347*$E347)*0.002</f>
        <v>21.2</v>
      </c>
      <c r="G347" s="5">
        <f t="shared" si="5"/>
        <v>1.484</v>
      </c>
      <c r="H347" s="5">
        <f t="shared" si="8"/>
        <v>10577.315999999999</v>
      </c>
      <c r="J347" s="10"/>
    </row>
    <row r="348" spans="2:10" ht="11.25">
      <c r="B348" s="37" t="s">
        <v>343</v>
      </c>
      <c r="C348" s="3" t="s">
        <v>33</v>
      </c>
      <c r="D348" s="4">
        <v>400</v>
      </c>
      <c r="E348" s="40">
        <v>26.75</v>
      </c>
      <c r="F348" s="5">
        <f t="shared" si="10"/>
        <v>21.400000000000002</v>
      </c>
      <c r="G348" s="5">
        <f aca="true" t="shared" si="11" ref="G348:G374">$F348*0.07</f>
        <v>1.4980000000000002</v>
      </c>
      <c r="H348" s="5">
        <f t="shared" si="8"/>
        <v>10677.102</v>
      </c>
      <c r="J348" s="18">
        <f>SUM(H348,H331,H338)</f>
        <v>-23.77059999999892</v>
      </c>
    </row>
    <row r="349" spans="2:10" ht="11.25">
      <c r="B349" s="37" t="s">
        <v>331</v>
      </c>
      <c r="C349" s="3" t="s">
        <v>33</v>
      </c>
      <c r="D349" s="4">
        <v>3000</v>
      </c>
      <c r="E349" s="40">
        <v>2.7</v>
      </c>
      <c r="F349" s="5">
        <f t="shared" si="10"/>
        <v>16.200000000000003</v>
      </c>
      <c r="G349" s="5">
        <f t="shared" si="11"/>
        <v>1.1340000000000003</v>
      </c>
      <c r="H349" s="5">
        <f t="shared" si="8"/>
        <v>8082.666000000001</v>
      </c>
      <c r="J349" s="11">
        <f>SUM(H349,H345,H326:H327)</f>
        <v>221.44790000000148</v>
      </c>
    </row>
    <row r="350" spans="2:8" ht="11.25">
      <c r="B350" s="37" t="s">
        <v>299</v>
      </c>
      <c r="C350" s="3" t="s">
        <v>16</v>
      </c>
      <c r="D350" s="4">
        <v>4000</v>
      </c>
      <c r="E350" s="40">
        <v>2.94</v>
      </c>
      <c r="F350" s="5">
        <f t="shared" si="10"/>
        <v>23.52</v>
      </c>
      <c r="G350" s="5">
        <f t="shared" si="11"/>
        <v>1.6464</v>
      </c>
      <c r="H350" s="5">
        <f t="shared" si="8"/>
        <v>-11785.1664</v>
      </c>
    </row>
    <row r="351" spans="2:8" ht="11.25">
      <c r="B351" s="37" t="s">
        <v>299</v>
      </c>
      <c r="C351" s="3" t="s">
        <v>16</v>
      </c>
      <c r="D351" s="4">
        <v>2000</v>
      </c>
      <c r="E351" s="40">
        <v>2.92</v>
      </c>
      <c r="F351" s="5">
        <f t="shared" si="10"/>
        <v>11.68</v>
      </c>
      <c r="G351" s="5">
        <f t="shared" si="11"/>
        <v>0.8176000000000001</v>
      </c>
      <c r="H351" s="5">
        <f t="shared" si="8"/>
        <v>-5852.497600000001</v>
      </c>
    </row>
    <row r="352" spans="2:10" ht="11.25">
      <c r="B352" s="37" t="s">
        <v>299</v>
      </c>
      <c r="C352" s="3" t="s">
        <v>16</v>
      </c>
      <c r="D352" s="4">
        <v>2000</v>
      </c>
      <c r="E352" s="40">
        <v>2.86</v>
      </c>
      <c r="F352" s="5">
        <f t="shared" si="10"/>
        <v>11.44</v>
      </c>
      <c r="G352" s="5">
        <f t="shared" si="11"/>
        <v>0.8008000000000001</v>
      </c>
      <c r="H352" s="5">
        <f t="shared" si="8"/>
        <v>-5732.2408</v>
      </c>
      <c r="J352" s="10"/>
    </row>
    <row r="353" spans="2:8" ht="11.25">
      <c r="B353" s="37" t="s">
        <v>300</v>
      </c>
      <c r="C353" s="3" t="s">
        <v>16</v>
      </c>
      <c r="D353" s="4">
        <v>1000</v>
      </c>
      <c r="E353" s="40">
        <v>8.8</v>
      </c>
      <c r="F353" s="5">
        <f t="shared" si="10"/>
        <v>17.6</v>
      </c>
      <c r="G353" s="5">
        <f t="shared" si="11"/>
        <v>1.2320000000000002</v>
      </c>
      <c r="H353" s="5">
        <f t="shared" si="8"/>
        <v>-8818.832</v>
      </c>
    </row>
    <row r="354" spans="1:8" ht="12" thickBot="1">
      <c r="A354" s="6"/>
      <c r="B354" s="42"/>
      <c r="C354" s="6"/>
      <c r="D354" s="7"/>
      <c r="E354" s="43"/>
      <c r="F354" s="8"/>
      <c r="G354" s="13" t="s">
        <v>14</v>
      </c>
      <c r="H354" s="13">
        <f>SUM(H347:H353)</f>
        <v>-2851.6528</v>
      </c>
    </row>
    <row r="355" spans="1:10" ht="11.25">
      <c r="A355" s="3" t="s">
        <v>353</v>
      </c>
      <c r="B355" s="37" t="s">
        <v>300</v>
      </c>
      <c r="C355" s="3" t="s">
        <v>16</v>
      </c>
      <c r="D355" s="4">
        <v>1000</v>
      </c>
      <c r="E355" s="40">
        <v>8.6</v>
      </c>
      <c r="F355" s="5">
        <f t="shared" si="10"/>
        <v>17.2</v>
      </c>
      <c r="G355" s="5">
        <f t="shared" si="11"/>
        <v>1.204</v>
      </c>
      <c r="H355" s="5">
        <f>IF($C355="BUY",(($D355*$E355)+$F355+$G355)*(-1),IF($C355="SELL",($D355*$E355)-$F355-$G355))</f>
        <v>-8618.404</v>
      </c>
      <c r="J355" s="10"/>
    </row>
    <row r="356" spans="2:10" ht="11.25">
      <c r="B356" s="37" t="s">
        <v>300</v>
      </c>
      <c r="C356" s="3" t="s">
        <v>16</v>
      </c>
      <c r="D356" s="4">
        <v>1000</v>
      </c>
      <c r="E356" s="40">
        <v>8.5</v>
      </c>
      <c r="F356" s="5">
        <f t="shared" si="10"/>
        <v>17</v>
      </c>
      <c r="G356" s="5">
        <f t="shared" si="11"/>
        <v>1.1900000000000002</v>
      </c>
      <c r="H356" s="5">
        <f>IF($C356="BUY",(($D356*$E356)+$F356+$G356)*(-1),IF($C356="SELL",($D356*$E356)-$F356-$G356))</f>
        <v>-8518.19</v>
      </c>
      <c r="J356" s="10"/>
    </row>
    <row r="357" spans="2:10" ht="11.25">
      <c r="B357" s="37" t="s">
        <v>334</v>
      </c>
      <c r="C357" s="3" t="s">
        <v>33</v>
      </c>
      <c r="D357" s="4">
        <v>300</v>
      </c>
      <c r="E357" s="40">
        <v>26.5</v>
      </c>
      <c r="F357" s="5">
        <f t="shared" si="10"/>
        <v>15.9</v>
      </c>
      <c r="G357" s="5">
        <f t="shared" si="11"/>
        <v>1.1130000000000002</v>
      </c>
      <c r="H357" s="5">
        <f>IF($C357="BUY",(($D357*$E357)+$F357+$G357)*(-1),IF($C357="SELL",($D357*$E357)-$F357-$G357))</f>
        <v>7932.987</v>
      </c>
      <c r="J357" s="11">
        <f>SUM(H357,H347,H339,H333,H325,H311,)</f>
        <v>370.6963999999989</v>
      </c>
    </row>
    <row r="358" spans="1:8" ht="12" thickBot="1">
      <c r="A358" s="6"/>
      <c r="B358" s="42"/>
      <c r="C358" s="6"/>
      <c r="D358" s="7"/>
      <c r="E358" s="43"/>
      <c r="F358" s="8"/>
      <c r="G358" s="13" t="s">
        <v>14</v>
      </c>
      <c r="H358" s="13">
        <f>SUM(H355:H357)</f>
        <v>-9203.607</v>
      </c>
    </row>
    <row r="359" spans="1:8" ht="11.25">
      <c r="A359" s="3" t="s">
        <v>354</v>
      </c>
      <c r="B359" s="37" t="s">
        <v>320</v>
      </c>
      <c r="C359" s="3" t="s">
        <v>16</v>
      </c>
      <c r="D359" s="4">
        <v>300</v>
      </c>
      <c r="E359" s="40">
        <v>24</v>
      </c>
      <c r="F359" s="5">
        <f>($D359*$E359)*0.002+29.8</f>
        <v>44.2</v>
      </c>
      <c r="G359" s="5">
        <f t="shared" si="11"/>
        <v>3.0940000000000003</v>
      </c>
      <c r="H359" s="5">
        <f>IF($C359="BUY",(($D359*$E359)+$F359+$G359)*(-1),IF($C359="SELL",($D359*$E359)-$F359-$G359))</f>
        <v>-7247.294</v>
      </c>
    </row>
    <row r="360" spans="2:8" ht="11.25">
      <c r="B360" s="37" t="s">
        <v>299</v>
      </c>
      <c r="C360" s="3" t="s">
        <v>16</v>
      </c>
      <c r="D360" s="4">
        <v>1000</v>
      </c>
      <c r="E360" s="40">
        <v>2.9</v>
      </c>
      <c r="F360" s="5">
        <f t="shared" si="10"/>
        <v>5.8</v>
      </c>
      <c r="G360" s="5">
        <f t="shared" si="11"/>
        <v>0.406</v>
      </c>
      <c r="H360" s="5">
        <f>IF($C360="BUY",(($D360*$E360)+$F360+$G360)*(-1),IF($C360="SELL",($D360*$E360)-$F360-$G360))</f>
        <v>-2906.206</v>
      </c>
    </row>
    <row r="361" spans="1:10" ht="12" thickBot="1">
      <c r="A361" s="6"/>
      <c r="B361" s="42"/>
      <c r="C361" s="6"/>
      <c r="D361" s="7"/>
      <c r="E361" s="43"/>
      <c r="F361" s="8"/>
      <c r="G361" s="13" t="s">
        <v>14</v>
      </c>
      <c r="H361" s="13">
        <f>SUM(H359:H360)</f>
        <v>-10153.5</v>
      </c>
      <c r="J361" s="10"/>
    </row>
    <row r="362" spans="1:10" ht="11.25">
      <c r="A362" s="3" t="s">
        <v>361</v>
      </c>
      <c r="B362" s="37" t="s">
        <v>279</v>
      </c>
      <c r="C362" s="3" t="s">
        <v>33</v>
      </c>
      <c r="D362" s="4">
        <v>1000</v>
      </c>
      <c r="E362" s="40">
        <v>8.8</v>
      </c>
      <c r="F362" s="5">
        <f t="shared" si="10"/>
        <v>17.6</v>
      </c>
      <c r="G362" s="5">
        <f t="shared" si="11"/>
        <v>1.2320000000000002</v>
      </c>
      <c r="H362" s="5">
        <f>IF($C362="BUY",(($D362*$E362)+$F362+$G362)*(-1),IF($C362="SELL",($D362*$E362)-$F362-$G362))</f>
        <v>8781.168</v>
      </c>
      <c r="J362" s="11">
        <f>SUM(H362,H344)</f>
        <v>249.64580000000024</v>
      </c>
    </row>
    <row r="363" spans="2:10" ht="11.25">
      <c r="B363" s="37" t="s">
        <v>300</v>
      </c>
      <c r="C363" s="3" t="s">
        <v>33</v>
      </c>
      <c r="D363" s="4">
        <v>1000</v>
      </c>
      <c r="E363" s="40">
        <v>8.75</v>
      </c>
      <c r="F363" s="5">
        <f t="shared" si="10"/>
        <v>17.5</v>
      </c>
      <c r="G363" s="5">
        <f t="shared" si="11"/>
        <v>1.225</v>
      </c>
      <c r="H363" s="5">
        <f>IF($C363="BUY",(($D363*$E363)+$F363+$G363)*(-1),IF($C363="SELL",($D363*$E363)-$F363-$G363))</f>
        <v>8731.275</v>
      </c>
      <c r="J363" s="10"/>
    </row>
    <row r="364" spans="2:10" ht="11.25">
      <c r="B364" s="37" t="s">
        <v>335</v>
      </c>
      <c r="C364" s="3" t="s">
        <v>33</v>
      </c>
      <c r="D364" s="4">
        <v>400</v>
      </c>
      <c r="E364" s="40">
        <v>17.9</v>
      </c>
      <c r="F364" s="5">
        <f t="shared" si="10"/>
        <v>14.319999999999999</v>
      </c>
      <c r="G364" s="5">
        <f t="shared" si="11"/>
        <v>1.0024</v>
      </c>
      <c r="H364" s="5">
        <f>IF($C364="BUY",(($D364*$E364)+$F364+$G364)*(-1),IF($C364="SELL",($D364*$E364)-$F364-$G364))</f>
        <v>7144.677599999999</v>
      </c>
      <c r="J364" s="11">
        <f>SUM(H364,H343,H341)</f>
        <v>90.3198999999986</v>
      </c>
    </row>
    <row r="365" spans="1:8" ht="12" thickBot="1">
      <c r="A365" s="6"/>
      <c r="B365" s="42"/>
      <c r="C365" s="6"/>
      <c r="D365" s="7"/>
      <c r="E365" s="43"/>
      <c r="F365" s="8"/>
      <c r="G365" s="14" t="s">
        <v>34</v>
      </c>
      <c r="H365" s="14">
        <f>SUM(H362:H364)</f>
        <v>24657.1206</v>
      </c>
    </row>
    <row r="366" spans="1:10" ht="11.25">
      <c r="A366" s="3" t="s">
        <v>365</v>
      </c>
      <c r="B366" s="37" t="s">
        <v>320</v>
      </c>
      <c r="C366" s="3" t="s">
        <v>33</v>
      </c>
      <c r="D366" s="4">
        <v>500</v>
      </c>
      <c r="E366" s="40">
        <v>27</v>
      </c>
      <c r="F366" s="5">
        <f t="shared" si="10"/>
        <v>27</v>
      </c>
      <c r="G366" s="5">
        <f t="shared" si="11"/>
        <v>1.8900000000000001</v>
      </c>
      <c r="H366" s="5">
        <f>IF($C366="BUY",(($D366*$E366)+$F366+$G366)*(-1),IF($C366="SELL",($D366*$E366)-$F366-$G366))</f>
        <v>13471.11</v>
      </c>
      <c r="J366" s="10"/>
    </row>
    <row r="367" spans="1:8" ht="12" thickBot="1">
      <c r="A367" s="6"/>
      <c r="B367" s="42"/>
      <c r="C367" s="6"/>
      <c r="D367" s="7"/>
      <c r="E367" s="43"/>
      <c r="F367" s="8"/>
      <c r="G367" s="14" t="s">
        <v>34</v>
      </c>
      <c r="H367" s="14">
        <f>H366</f>
        <v>13471.11</v>
      </c>
    </row>
    <row r="368" spans="1:8" ht="11.25">
      <c r="A368" s="3" t="s">
        <v>366</v>
      </c>
      <c r="B368" s="37" t="s">
        <v>320</v>
      </c>
      <c r="C368" s="3" t="s">
        <v>16</v>
      </c>
      <c r="D368" s="4">
        <v>500</v>
      </c>
      <c r="E368" s="40">
        <v>25.75</v>
      </c>
      <c r="F368" s="5">
        <f t="shared" si="10"/>
        <v>25.75</v>
      </c>
      <c r="G368" s="5">
        <f t="shared" si="11"/>
        <v>1.8025000000000002</v>
      </c>
      <c r="H368" s="5">
        <f>IF($C368="BUY",(($D368*$E368)+$F368+$G368)*(-1),IF($C368="SELL",($D368*$E368)-$F368-$G368))</f>
        <v>-12902.5525</v>
      </c>
    </row>
    <row r="369" spans="2:8" ht="11.25">
      <c r="B369" s="37" t="s">
        <v>367</v>
      </c>
      <c r="C369" s="3" t="s">
        <v>16</v>
      </c>
      <c r="D369" s="4">
        <v>2000</v>
      </c>
      <c r="E369" s="40">
        <v>8</v>
      </c>
      <c r="F369" s="5">
        <f t="shared" si="10"/>
        <v>32</v>
      </c>
      <c r="G369" s="5">
        <f t="shared" si="11"/>
        <v>2.24</v>
      </c>
      <c r="H369" s="5">
        <f>IF($C369="BUY",(($D369*$E369)+$F369+$G369)*(-1),IF($C369="SELL",($D369*$E369)-$F369-$G369))</f>
        <v>-16034.24</v>
      </c>
    </row>
    <row r="370" spans="1:8" ht="12" thickBot="1">
      <c r="A370" s="6"/>
      <c r="B370" s="42"/>
      <c r="C370" s="6"/>
      <c r="D370" s="7"/>
      <c r="E370" s="43"/>
      <c r="F370" s="8"/>
      <c r="G370" s="13" t="s">
        <v>14</v>
      </c>
      <c r="H370" s="13">
        <f>SUM(H368:H369)</f>
        <v>-28936.7925</v>
      </c>
    </row>
    <row r="371" spans="1:8" ht="11.25">
      <c r="A371" s="3" t="s">
        <v>369</v>
      </c>
      <c r="B371" s="37" t="s">
        <v>370</v>
      </c>
      <c r="C371" s="3" t="s">
        <v>16</v>
      </c>
      <c r="D371" s="4">
        <v>1500</v>
      </c>
      <c r="E371" s="40">
        <v>19.7</v>
      </c>
      <c r="F371" s="5">
        <f t="shared" si="10"/>
        <v>59.1</v>
      </c>
      <c r="G371" s="5">
        <f t="shared" si="11"/>
        <v>4.1370000000000005</v>
      </c>
      <c r="H371" s="5">
        <f>IF($C371="BUY",(($D371*$E371)+$F371+$G371)*(-1),IF($C371="SELL",($D371*$E371)-$F371-$G371))</f>
        <v>-29613.236999999997</v>
      </c>
    </row>
    <row r="372" spans="2:10" ht="11.25">
      <c r="B372" s="37" t="s">
        <v>367</v>
      </c>
      <c r="C372" s="3" t="s">
        <v>33</v>
      </c>
      <c r="D372" s="4">
        <v>2000</v>
      </c>
      <c r="E372" s="40">
        <v>8.3</v>
      </c>
      <c r="F372" s="5">
        <f t="shared" si="10"/>
        <v>33.2</v>
      </c>
      <c r="G372" s="5">
        <f t="shared" si="11"/>
        <v>2.3240000000000003</v>
      </c>
      <c r="H372" s="5">
        <f>IF($C372="BUY",(($D372*$E372)+$F372+$G372)*(-1),IF($C372="SELL",($D372*$E372)-$F372-$G372))</f>
        <v>16564.476</v>
      </c>
      <c r="J372" s="11">
        <f>SUM(H372,H369)</f>
        <v>530.235999999999</v>
      </c>
    </row>
    <row r="373" spans="2:8" ht="11.25">
      <c r="B373" s="37" t="s">
        <v>320</v>
      </c>
      <c r="C373" s="3" t="s">
        <v>16</v>
      </c>
      <c r="D373" s="4">
        <v>200</v>
      </c>
      <c r="E373" s="40">
        <v>26.25</v>
      </c>
      <c r="F373" s="5">
        <f t="shared" si="10"/>
        <v>10.5</v>
      </c>
      <c r="G373" s="5">
        <f>$F373*0.07</f>
        <v>0.7350000000000001</v>
      </c>
      <c r="H373" s="5">
        <f>IF($C373="BUY",(($D373*$E373)+$F373+$G373)*(-1),IF($C373="SELL",($D373*$E373)-$F373-$G373))</f>
        <v>-5261.235</v>
      </c>
    </row>
    <row r="374" spans="2:8" ht="11.25">
      <c r="B374" s="37" t="s">
        <v>300</v>
      </c>
      <c r="C374" s="3" t="s">
        <v>33</v>
      </c>
      <c r="D374" s="4">
        <v>1000</v>
      </c>
      <c r="E374" s="40">
        <v>9.3</v>
      </c>
      <c r="F374" s="5">
        <f>($D374*$E374)*0.002</f>
        <v>18.6</v>
      </c>
      <c r="G374" s="5">
        <f t="shared" si="11"/>
        <v>1.3020000000000003</v>
      </c>
      <c r="H374" s="5">
        <f>IF($C374="BUY",(($D374*$E374)+$F374+$G374)*(-1),IF($C374="SELL",($D374*$E374)-$F374-$G374))</f>
        <v>9280.098</v>
      </c>
    </row>
    <row r="375" spans="7:8" ht="11.25">
      <c r="G375" s="36" t="s">
        <v>34</v>
      </c>
      <c r="H375" s="36">
        <f>SUM(H371:H374)</f>
        <v>-9029.898</v>
      </c>
    </row>
    <row r="376" spans="1:10" ht="15" customHeight="1" thickBot="1">
      <c r="A376" s="141" t="s">
        <v>1</v>
      </c>
      <c r="B376" s="142"/>
      <c r="C376" s="142"/>
      <c r="D376" s="142"/>
      <c r="E376" s="142"/>
      <c r="F376" s="142"/>
      <c r="G376" s="142"/>
      <c r="H376" s="142"/>
      <c r="I376" s="142"/>
      <c r="J376" s="142"/>
    </row>
    <row r="377" spans="1:11" ht="12" thickBot="1">
      <c r="A377" s="31" t="s">
        <v>372</v>
      </c>
      <c r="B377" s="123" t="s">
        <v>0</v>
      </c>
      <c r="C377" s="32" t="s">
        <v>2</v>
      </c>
      <c r="D377" s="32" t="s">
        <v>3</v>
      </c>
      <c r="E377" s="127" t="s">
        <v>4</v>
      </c>
      <c r="F377" s="34" t="s">
        <v>5</v>
      </c>
      <c r="G377" s="34" t="s">
        <v>6</v>
      </c>
      <c r="H377" s="34" t="s">
        <v>7</v>
      </c>
      <c r="I377" s="111" t="s">
        <v>8</v>
      </c>
      <c r="J377" s="112" t="s">
        <v>415</v>
      </c>
      <c r="K377" s="137"/>
    </row>
    <row r="378" spans="1:9" ht="11.25">
      <c r="A378" s="3" t="s">
        <v>373</v>
      </c>
      <c r="B378" s="37">
        <v>37844</v>
      </c>
      <c r="C378" s="3" t="s">
        <v>300</v>
      </c>
      <c r="D378" s="4" t="s">
        <v>374</v>
      </c>
      <c r="E378" s="40">
        <v>1000</v>
      </c>
      <c r="F378" s="5">
        <v>9.45</v>
      </c>
      <c r="G378" s="5">
        <f>($E378*$F378)*0.002</f>
        <v>18.900000000000002</v>
      </c>
      <c r="H378" s="5">
        <f>$G378*0.07</f>
        <v>1.3230000000000002</v>
      </c>
      <c r="I378" s="39">
        <f>IF($D378="B",(($E378*$F378)+$G378+$H378)*(-1),IF($D378="S",($E378*$F378)-$G378-$H378))</f>
        <v>9429.777</v>
      </c>
    </row>
    <row r="379" spans="3:9" ht="11.25">
      <c r="C379" s="3" t="s">
        <v>300</v>
      </c>
      <c r="D379" s="4" t="s">
        <v>374</v>
      </c>
      <c r="E379" s="40">
        <v>1000</v>
      </c>
      <c r="F379" s="5">
        <v>9.65</v>
      </c>
      <c r="G379" s="5">
        <f aca="true" t="shared" si="12" ref="G379:G449">($E379*$F379)*0.002</f>
        <v>19.3</v>
      </c>
      <c r="H379" s="5">
        <f aca="true" t="shared" si="13" ref="H379:H449">$G379*0.07</f>
        <v>1.3510000000000002</v>
      </c>
      <c r="I379" s="39">
        <f aca="true" t="shared" si="14" ref="I379:I449">IF($D379="B",(($E379*$F379)+$G379+$H379)*(-1),IF($D379="S",($E379*$F379)-$G379-$H379))</f>
        <v>9629.349</v>
      </c>
    </row>
    <row r="380" spans="3:10" ht="11.25">
      <c r="C380" s="3" t="s">
        <v>300</v>
      </c>
      <c r="D380" s="4" t="s">
        <v>374</v>
      </c>
      <c r="E380" s="40">
        <v>3000</v>
      </c>
      <c r="F380" s="5">
        <v>9.8</v>
      </c>
      <c r="G380" s="5">
        <f t="shared" si="12"/>
        <v>58.80000000000001</v>
      </c>
      <c r="H380" s="5">
        <f t="shared" si="13"/>
        <v>4.116000000000001</v>
      </c>
      <c r="I380" s="39">
        <f t="shared" si="14"/>
        <v>29337.084000000003</v>
      </c>
      <c r="J380" s="11">
        <f>SUM(I378:I380,H374,H363,H355:H356,H353,H302:H303,H296:H297,H291,H289,H282:H283,H278:H280,H274,H269,H267,H264,H260)</f>
        <v>3941.860000000008</v>
      </c>
    </row>
    <row r="381" spans="3:11" ht="11.25">
      <c r="C381" s="3" t="s">
        <v>279</v>
      </c>
      <c r="D381" s="4" t="s">
        <v>375</v>
      </c>
      <c r="E381" s="40">
        <v>2000</v>
      </c>
      <c r="F381" s="5">
        <v>9</v>
      </c>
      <c r="G381" s="5">
        <f t="shared" si="12"/>
        <v>36</v>
      </c>
      <c r="H381" s="5">
        <f t="shared" si="13"/>
        <v>2.5200000000000005</v>
      </c>
      <c r="I381" s="39">
        <f t="shared" si="14"/>
        <v>-18038.52</v>
      </c>
      <c r="K381" s="44"/>
    </row>
    <row r="382" spans="3:9" ht="11.25">
      <c r="C382" s="3" t="s">
        <v>279</v>
      </c>
      <c r="D382" s="4" t="s">
        <v>375</v>
      </c>
      <c r="E382" s="40">
        <v>3000</v>
      </c>
      <c r="F382" s="5">
        <v>9.2</v>
      </c>
      <c r="G382" s="5">
        <f t="shared" si="12"/>
        <v>55.199999999999996</v>
      </c>
      <c r="H382" s="5">
        <f t="shared" si="13"/>
        <v>3.864</v>
      </c>
      <c r="I382" s="39">
        <f t="shared" si="14"/>
        <v>-27659.064</v>
      </c>
    </row>
    <row r="383" spans="3:10" ht="11.25">
      <c r="C383" s="3" t="s">
        <v>279</v>
      </c>
      <c r="D383" s="4" t="s">
        <v>375</v>
      </c>
      <c r="E383" s="40">
        <v>2000</v>
      </c>
      <c r="F383" s="5">
        <v>9</v>
      </c>
      <c r="G383" s="5">
        <f t="shared" si="12"/>
        <v>36</v>
      </c>
      <c r="H383" s="5">
        <f t="shared" si="13"/>
        <v>2.5200000000000005</v>
      </c>
      <c r="I383" s="39">
        <f t="shared" si="14"/>
        <v>-18038.52</v>
      </c>
      <c r="J383" s="10"/>
    </row>
    <row r="384" spans="3:9" ht="11.25">
      <c r="C384" s="3" t="s">
        <v>279</v>
      </c>
      <c r="D384" s="4" t="s">
        <v>374</v>
      </c>
      <c r="E384" s="40">
        <v>2000</v>
      </c>
      <c r="F384" s="5">
        <v>9.1</v>
      </c>
      <c r="G384" s="5">
        <f t="shared" si="12"/>
        <v>36.4</v>
      </c>
      <c r="H384" s="5">
        <f t="shared" si="13"/>
        <v>2.548</v>
      </c>
      <c r="I384" s="39">
        <f t="shared" si="14"/>
        <v>18161.052</v>
      </c>
    </row>
    <row r="385" spans="3:9" ht="11.25">
      <c r="C385" s="3" t="s">
        <v>320</v>
      </c>
      <c r="D385" s="4" t="s">
        <v>374</v>
      </c>
      <c r="E385" s="40">
        <v>200</v>
      </c>
      <c r="F385" s="5">
        <v>28.75</v>
      </c>
      <c r="G385" s="5">
        <f t="shared" si="12"/>
        <v>11.5</v>
      </c>
      <c r="H385" s="5">
        <f t="shared" si="13"/>
        <v>0.805</v>
      </c>
      <c r="I385" s="39">
        <f t="shared" si="14"/>
        <v>5737.695</v>
      </c>
    </row>
    <row r="386" spans="3:9" ht="11.25">
      <c r="C386" s="3" t="s">
        <v>299</v>
      </c>
      <c r="D386" s="4" t="s">
        <v>375</v>
      </c>
      <c r="E386" s="40">
        <v>2000</v>
      </c>
      <c r="F386" s="5">
        <v>3</v>
      </c>
      <c r="G386" s="5">
        <f t="shared" si="12"/>
        <v>12</v>
      </c>
      <c r="H386" s="5">
        <f t="shared" si="13"/>
        <v>0.8400000000000001</v>
      </c>
      <c r="I386" s="39">
        <f t="shared" si="14"/>
        <v>-6012.84</v>
      </c>
    </row>
    <row r="387" spans="1:9" ht="12" thickBot="1">
      <c r="A387" s="6"/>
      <c r="B387" s="42"/>
      <c r="C387" s="6"/>
      <c r="D387" s="7"/>
      <c r="E387" s="43"/>
      <c r="F387" s="8"/>
      <c r="G387" s="8"/>
      <c r="H387" s="14" t="s">
        <v>34</v>
      </c>
      <c r="I387" s="14">
        <f>SUM(I378:I386)</f>
        <v>2546.0130000000063</v>
      </c>
    </row>
    <row r="388" spans="1:9" ht="11.25">
      <c r="A388" s="3" t="s">
        <v>377</v>
      </c>
      <c r="B388" s="37">
        <v>37846</v>
      </c>
      <c r="C388" s="3" t="s">
        <v>320</v>
      </c>
      <c r="D388" s="4" t="s">
        <v>374</v>
      </c>
      <c r="E388" s="40">
        <v>300</v>
      </c>
      <c r="F388" s="5">
        <v>30.25</v>
      </c>
      <c r="G388" s="5">
        <f t="shared" si="12"/>
        <v>18.150000000000002</v>
      </c>
      <c r="H388" s="5">
        <f t="shared" si="13"/>
        <v>1.2705000000000002</v>
      </c>
      <c r="I388" s="39">
        <f t="shared" si="14"/>
        <v>9055.5795</v>
      </c>
    </row>
    <row r="389" spans="3:10" ht="11.25">
      <c r="C389" s="3" t="s">
        <v>320</v>
      </c>
      <c r="D389" s="4" t="s">
        <v>375</v>
      </c>
      <c r="E389" s="40">
        <v>300</v>
      </c>
      <c r="F389" s="5">
        <v>29.25</v>
      </c>
      <c r="G389" s="5">
        <f t="shared" si="12"/>
        <v>17.55</v>
      </c>
      <c r="H389" s="5">
        <f t="shared" si="13"/>
        <v>1.2285000000000001</v>
      </c>
      <c r="I389" s="39">
        <f t="shared" si="14"/>
        <v>-8793.778499999999</v>
      </c>
      <c r="J389" s="10"/>
    </row>
    <row r="390" spans="3:9" ht="11.25">
      <c r="C390" s="3" t="s">
        <v>370</v>
      </c>
      <c r="D390" s="4" t="s">
        <v>374</v>
      </c>
      <c r="E390" s="40">
        <v>500</v>
      </c>
      <c r="F390" s="5">
        <v>20.4</v>
      </c>
      <c r="G390" s="5">
        <f t="shared" si="12"/>
        <v>20.400000000000002</v>
      </c>
      <c r="H390" s="5">
        <f t="shared" si="13"/>
        <v>1.4280000000000004</v>
      </c>
      <c r="I390" s="39">
        <f t="shared" si="14"/>
        <v>10178.172</v>
      </c>
    </row>
    <row r="391" spans="3:10" ht="11.25">
      <c r="C391" s="3" t="s">
        <v>370</v>
      </c>
      <c r="D391" s="4" t="s">
        <v>374</v>
      </c>
      <c r="E391" s="40">
        <v>1000</v>
      </c>
      <c r="F391" s="5">
        <v>20.6</v>
      </c>
      <c r="G391" s="5">
        <f t="shared" si="12"/>
        <v>41.2</v>
      </c>
      <c r="H391" s="5">
        <f t="shared" si="13"/>
        <v>2.8840000000000003</v>
      </c>
      <c r="I391" s="39">
        <f t="shared" si="14"/>
        <v>20555.916</v>
      </c>
      <c r="J391" s="11">
        <f>SUM(I390:I391,H371)</f>
        <v>1120.851000000006</v>
      </c>
    </row>
    <row r="392" spans="3:9" ht="11.25">
      <c r="C392" s="3" t="s">
        <v>299</v>
      </c>
      <c r="D392" s="4" t="s">
        <v>375</v>
      </c>
      <c r="E392" s="40">
        <v>1000</v>
      </c>
      <c r="F392" s="5">
        <v>3.04</v>
      </c>
      <c r="G392" s="5">
        <f t="shared" si="12"/>
        <v>6.08</v>
      </c>
      <c r="H392" s="5">
        <f t="shared" si="13"/>
        <v>0.42560000000000003</v>
      </c>
      <c r="I392" s="39">
        <f t="shared" si="14"/>
        <v>-3046.5056</v>
      </c>
    </row>
    <row r="393" spans="3:9" ht="11.25">
      <c r="C393" s="3" t="s">
        <v>279</v>
      </c>
      <c r="D393" s="4" t="s">
        <v>374</v>
      </c>
      <c r="E393" s="40">
        <v>2000</v>
      </c>
      <c r="F393" s="5">
        <v>10.2</v>
      </c>
      <c r="G393" s="5">
        <f t="shared" si="12"/>
        <v>40.800000000000004</v>
      </c>
      <c r="H393" s="5">
        <f t="shared" si="13"/>
        <v>2.8560000000000008</v>
      </c>
      <c r="I393" s="39">
        <f t="shared" si="14"/>
        <v>20356.344</v>
      </c>
    </row>
    <row r="394" spans="3:10" ht="11.25">
      <c r="C394" s="3" t="s">
        <v>279</v>
      </c>
      <c r="D394" s="4" t="s">
        <v>374</v>
      </c>
      <c r="E394" s="40">
        <v>3000</v>
      </c>
      <c r="F394" s="5">
        <v>10.3</v>
      </c>
      <c r="G394" s="5">
        <f t="shared" si="12"/>
        <v>61.80000000000001</v>
      </c>
      <c r="H394" s="5">
        <f t="shared" si="13"/>
        <v>4.326000000000001</v>
      </c>
      <c r="I394" s="39">
        <f t="shared" si="14"/>
        <v>30833.874000000003</v>
      </c>
      <c r="J394" s="11">
        <f>SUM(I393:I394,I381:I384,)</f>
        <v>5615.166000000005</v>
      </c>
    </row>
    <row r="395" spans="3:9" ht="11.25">
      <c r="C395" s="3" t="s">
        <v>279</v>
      </c>
      <c r="D395" s="4" t="s">
        <v>375</v>
      </c>
      <c r="E395" s="40">
        <v>1000</v>
      </c>
      <c r="F395" s="5">
        <v>9.9</v>
      </c>
      <c r="G395" s="5">
        <f t="shared" si="12"/>
        <v>19.8</v>
      </c>
      <c r="H395" s="5">
        <f t="shared" si="13"/>
        <v>1.3860000000000001</v>
      </c>
      <c r="I395" s="39">
        <f t="shared" si="14"/>
        <v>-9921.186</v>
      </c>
    </row>
    <row r="396" spans="3:9" ht="11.25">
      <c r="C396" s="3" t="s">
        <v>279</v>
      </c>
      <c r="D396" s="4" t="s">
        <v>375</v>
      </c>
      <c r="E396" s="40">
        <v>1000</v>
      </c>
      <c r="F396" s="5">
        <v>10</v>
      </c>
      <c r="G396" s="5">
        <f t="shared" si="12"/>
        <v>20</v>
      </c>
      <c r="H396" s="5">
        <f t="shared" si="13"/>
        <v>1.4000000000000001</v>
      </c>
      <c r="I396" s="39">
        <f t="shared" si="14"/>
        <v>-10021.4</v>
      </c>
    </row>
    <row r="397" spans="3:10" ht="11.25">
      <c r="C397" s="3" t="s">
        <v>279</v>
      </c>
      <c r="D397" s="4" t="s">
        <v>374</v>
      </c>
      <c r="E397" s="40">
        <v>2000</v>
      </c>
      <c r="F397" s="5">
        <v>10.3</v>
      </c>
      <c r="G397" s="5">
        <f t="shared" si="12"/>
        <v>41.2</v>
      </c>
      <c r="H397" s="5">
        <f t="shared" si="13"/>
        <v>2.8840000000000003</v>
      </c>
      <c r="I397" s="39">
        <f t="shared" si="14"/>
        <v>20555.916</v>
      </c>
      <c r="J397" s="11">
        <f>SUM(I395:I397)</f>
        <v>613.3300000000017</v>
      </c>
    </row>
    <row r="398" spans="1:10" ht="12" thickBot="1">
      <c r="A398" s="6"/>
      <c r="B398" s="42"/>
      <c r="C398" s="6"/>
      <c r="D398" s="7"/>
      <c r="E398" s="43"/>
      <c r="F398" s="8"/>
      <c r="G398" s="8"/>
      <c r="H398" s="14" t="s">
        <v>34</v>
      </c>
      <c r="I398" s="14">
        <f>SUM(I388:I397)</f>
        <v>79752.93140000002</v>
      </c>
      <c r="J398" s="67"/>
    </row>
    <row r="399" spans="1:10" ht="11.25">
      <c r="A399" s="3" t="s">
        <v>379</v>
      </c>
      <c r="B399" s="37">
        <v>37847</v>
      </c>
      <c r="C399" s="3" t="s">
        <v>279</v>
      </c>
      <c r="D399" s="4" t="s">
        <v>375</v>
      </c>
      <c r="E399" s="40">
        <v>1000</v>
      </c>
      <c r="F399" s="5">
        <v>9.9</v>
      </c>
      <c r="G399" s="5">
        <f t="shared" si="12"/>
        <v>19.8</v>
      </c>
      <c r="H399" s="5">
        <f t="shared" si="13"/>
        <v>1.3860000000000001</v>
      </c>
      <c r="I399" s="39">
        <f t="shared" si="14"/>
        <v>-9921.186</v>
      </c>
      <c r="J399" s="39"/>
    </row>
    <row r="400" spans="3:9" ht="11.25">
      <c r="C400" s="3" t="s">
        <v>320</v>
      </c>
      <c r="D400" s="4" t="s">
        <v>375</v>
      </c>
      <c r="E400" s="40">
        <v>500</v>
      </c>
      <c r="F400" s="5">
        <v>27.75</v>
      </c>
      <c r="G400" s="5">
        <f t="shared" si="12"/>
        <v>27.75</v>
      </c>
      <c r="H400" s="5">
        <f t="shared" si="13"/>
        <v>1.9425000000000001</v>
      </c>
      <c r="I400" s="39">
        <f t="shared" si="14"/>
        <v>-13904.6925</v>
      </c>
    </row>
    <row r="401" spans="3:9" ht="11.25">
      <c r="C401" s="3" t="s">
        <v>320</v>
      </c>
      <c r="D401" s="4" t="s">
        <v>375</v>
      </c>
      <c r="E401" s="40">
        <v>500</v>
      </c>
      <c r="F401" s="5">
        <v>27.25</v>
      </c>
      <c r="G401" s="5">
        <f t="shared" si="12"/>
        <v>27.25</v>
      </c>
      <c r="H401" s="5">
        <f t="shared" si="13"/>
        <v>1.9075000000000002</v>
      </c>
      <c r="I401" s="39">
        <f t="shared" si="14"/>
        <v>-13654.1575</v>
      </c>
    </row>
    <row r="402" spans="3:10" ht="11.25">
      <c r="C402" s="3" t="s">
        <v>320</v>
      </c>
      <c r="D402" s="4" t="s">
        <v>374</v>
      </c>
      <c r="E402" s="40">
        <v>1000</v>
      </c>
      <c r="F402" s="5">
        <v>28</v>
      </c>
      <c r="G402" s="5">
        <f t="shared" si="12"/>
        <v>56</v>
      </c>
      <c r="H402" s="5">
        <f t="shared" si="13"/>
        <v>3.9200000000000004</v>
      </c>
      <c r="I402" s="39">
        <f t="shared" si="14"/>
        <v>27940.08</v>
      </c>
      <c r="J402" s="10"/>
    </row>
    <row r="403" spans="1:9" ht="12" thickBot="1">
      <c r="A403" s="6"/>
      <c r="B403" s="42"/>
      <c r="C403" s="6"/>
      <c r="D403" s="7"/>
      <c r="E403" s="43"/>
      <c r="F403" s="8"/>
      <c r="G403" s="8"/>
      <c r="H403" s="13" t="s">
        <v>14</v>
      </c>
      <c r="I403" s="13">
        <f>SUM(I399:I402)</f>
        <v>-9539.955999999998</v>
      </c>
    </row>
    <row r="404" spans="1:9" ht="11.25">
      <c r="A404" s="3" t="s">
        <v>381</v>
      </c>
      <c r="B404" s="37">
        <v>37848</v>
      </c>
      <c r="C404" s="3" t="s">
        <v>382</v>
      </c>
      <c r="D404" s="4" t="s">
        <v>375</v>
      </c>
      <c r="E404" s="40">
        <v>2000</v>
      </c>
      <c r="F404" s="5">
        <v>9.95</v>
      </c>
      <c r="G404" s="5">
        <f t="shared" si="12"/>
        <v>39.800000000000004</v>
      </c>
      <c r="H404" s="5">
        <f t="shared" si="13"/>
        <v>2.7860000000000005</v>
      </c>
      <c r="I404" s="39">
        <f t="shared" si="14"/>
        <v>-19942.586</v>
      </c>
    </row>
    <row r="405" spans="3:9" ht="11.25">
      <c r="C405" s="3" t="s">
        <v>299</v>
      </c>
      <c r="D405" s="4" t="s">
        <v>374</v>
      </c>
      <c r="E405" s="40">
        <v>1500</v>
      </c>
      <c r="F405" s="5">
        <v>3.22</v>
      </c>
      <c r="G405" s="5">
        <f t="shared" si="12"/>
        <v>9.66</v>
      </c>
      <c r="H405" s="5">
        <f t="shared" si="13"/>
        <v>0.6762</v>
      </c>
      <c r="I405" s="39">
        <f t="shared" si="14"/>
        <v>4819.6638</v>
      </c>
    </row>
    <row r="406" spans="3:10" ht="11.25">
      <c r="C406" s="3" t="s">
        <v>279</v>
      </c>
      <c r="D406" s="4" t="s">
        <v>374</v>
      </c>
      <c r="E406" s="40">
        <v>1000</v>
      </c>
      <c r="F406" s="5">
        <v>10.7</v>
      </c>
      <c r="G406" s="5">
        <f t="shared" si="12"/>
        <v>21.400000000000002</v>
      </c>
      <c r="H406" s="5">
        <f t="shared" si="13"/>
        <v>1.4980000000000002</v>
      </c>
      <c r="I406" s="39">
        <f t="shared" si="14"/>
        <v>10677.102</v>
      </c>
      <c r="J406" s="11">
        <f>SUM(I406,I399)</f>
        <v>755.9160000000011</v>
      </c>
    </row>
    <row r="407" spans="3:9" ht="11.25">
      <c r="C407" s="3" t="s">
        <v>320</v>
      </c>
      <c r="D407" s="4" t="s">
        <v>375</v>
      </c>
      <c r="E407" s="40">
        <v>500</v>
      </c>
      <c r="F407" s="5">
        <v>27.75</v>
      </c>
      <c r="G407" s="5">
        <f t="shared" si="12"/>
        <v>27.75</v>
      </c>
      <c r="H407" s="5">
        <f t="shared" si="13"/>
        <v>1.9425000000000001</v>
      </c>
      <c r="I407" s="39">
        <f t="shared" si="14"/>
        <v>-13904.6925</v>
      </c>
    </row>
    <row r="408" spans="1:9" ht="12" thickBot="1">
      <c r="A408" s="6"/>
      <c r="B408" s="42"/>
      <c r="C408" s="6"/>
      <c r="D408" s="7"/>
      <c r="E408" s="43"/>
      <c r="F408" s="8"/>
      <c r="G408" s="8"/>
      <c r="H408" s="13" t="s">
        <v>14</v>
      </c>
      <c r="I408" s="13">
        <f>SUM(I404:I407)</f>
        <v>-18350.5127</v>
      </c>
    </row>
    <row r="409" spans="1:9" ht="11.25">
      <c r="A409" s="3" t="s">
        <v>373</v>
      </c>
      <c r="B409" s="37">
        <v>37851</v>
      </c>
      <c r="C409" s="3" t="s">
        <v>299</v>
      </c>
      <c r="D409" s="4" t="s">
        <v>374</v>
      </c>
      <c r="E409" s="40">
        <v>2000</v>
      </c>
      <c r="F409" s="5">
        <v>3.36</v>
      </c>
      <c r="G409" s="5">
        <f t="shared" si="12"/>
        <v>13.44</v>
      </c>
      <c r="H409" s="5">
        <f t="shared" si="13"/>
        <v>0.9408000000000001</v>
      </c>
      <c r="I409" s="39">
        <f t="shared" si="14"/>
        <v>6705.6192</v>
      </c>
    </row>
    <row r="410" spans="3:10" ht="11.25">
      <c r="C410" s="3" t="s">
        <v>299</v>
      </c>
      <c r="D410" s="4" t="s">
        <v>374</v>
      </c>
      <c r="E410" s="40">
        <v>1000</v>
      </c>
      <c r="F410" s="5">
        <v>3.4</v>
      </c>
      <c r="G410" s="5">
        <f t="shared" si="12"/>
        <v>6.8</v>
      </c>
      <c r="H410" s="5">
        <f t="shared" si="13"/>
        <v>0.47600000000000003</v>
      </c>
      <c r="I410" s="39">
        <f t="shared" si="14"/>
        <v>3392.7239999999997</v>
      </c>
      <c r="J410" s="10"/>
    </row>
    <row r="411" spans="3:10" ht="11.25">
      <c r="C411" s="3" t="s">
        <v>382</v>
      </c>
      <c r="D411" s="4" t="s">
        <v>374</v>
      </c>
      <c r="E411" s="40">
        <v>2000</v>
      </c>
      <c r="F411" s="5">
        <v>10.5</v>
      </c>
      <c r="G411" s="5">
        <f t="shared" si="12"/>
        <v>42</v>
      </c>
      <c r="H411" s="5">
        <f t="shared" si="13"/>
        <v>2.9400000000000004</v>
      </c>
      <c r="I411" s="39">
        <f t="shared" si="14"/>
        <v>20955.06</v>
      </c>
      <c r="J411" s="11">
        <f>SUM(I411,I404)</f>
        <v>1012.474000000002</v>
      </c>
    </row>
    <row r="412" spans="3:9" ht="11.25">
      <c r="C412" s="3" t="s">
        <v>320</v>
      </c>
      <c r="D412" s="4" t="s">
        <v>375</v>
      </c>
      <c r="E412" s="40">
        <v>200</v>
      </c>
      <c r="F412" s="5">
        <v>28.5</v>
      </c>
      <c r="G412" s="5">
        <f t="shared" si="12"/>
        <v>11.4</v>
      </c>
      <c r="H412" s="5">
        <f t="shared" si="13"/>
        <v>0.7980000000000002</v>
      </c>
      <c r="I412" s="39">
        <f t="shared" si="14"/>
        <v>-5712.197999999999</v>
      </c>
    </row>
    <row r="413" spans="3:9" ht="11.25">
      <c r="C413" s="3" t="s">
        <v>320</v>
      </c>
      <c r="D413" s="4" t="s">
        <v>374</v>
      </c>
      <c r="E413" s="40">
        <v>400</v>
      </c>
      <c r="F413" s="5">
        <v>29.5</v>
      </c>
      <c r="G413" s="5">
        <f t="shared" si="12"/>
        <v>23.6</v>
      </c>
      <c r="H413" s="5">
        <f t="shared" si="13"/>
        <v>1.6520000000000004</v>
      </c>
      <c r="I413" s="39">
        <f t="shared" si="14"/>
        <v>11774.748</v>
      </c>
    </row>
    <row r="414" spans="1:9" ht="12" thickBot="1">
      <c r="A414" s="6"/>
      <c r="B414" s="42"/>
      <c r="C414" s="6"/>
      <c r="D414" s="7"/>
      <c r="E414" s="43"/>
      <c r="F414" s="8"/>
      <c r="G414" s="8"/>
      <c r="H414" s="14" t="s">
        <v>34</v>
      </c>
      <c r="I414" s="14">
        <f>SUM(I409:I413)</f>
        <v>37115.9532</v>
      </c>
    </row>
    <row r="415" spans="1:9" ht="11.25">
      <c r="A415" s="3" t="s">
        <v>377</v>
      </c>
      <c r="B415" s="37">
        <v>37853</v>
      </c>
      <c r="C415" s="3" t="s">
        <v>320</v>
      </c>
      <c r="D415" s="4" t="s">
        <v>374</v>
      </c>
      <c r="E415" s="40">
        <v>300</v>
      </c>
      <c r="F415" s="5">
        <v>32.25</v>
      </c>
      <c r="G415" s="5">
        <f t="shared" si="12"/>
        <v>19.35</v>
      </c>
      <c r="H415" s="5">
        <f t="shared" si="13"/>
        <v>1.3545000000000003</v>
      </c>
      <c r="I415" s="39">
        <f t="shared" si="14"/>
        <v>9654.2955</v>
      </c>
    </row>
    <row r="416" spans="3:9" ht="11.25">
      <c r="C416" s="3" t="s">
        <v>320</v>
      </c>
      <c r="D416" s="4" t="s">
        <v>374</v>
      </c>
      <c r="E416" s="40">
        <v>800</v>
      </c>
      <c r="F416" s="5">
        <v>32.5</v>
      </c>
      <c r="G416" s="5">
        <f t="shared" si="12"/>
        <v>52</v>
      </c>
      <c r="H416" s="5">
        <f t="shared" si="13"/>
        <v>3.6400000000000006</v>
      </c>
      <c r="I416" s="39">
        <f t="shared" si="14"/>
        <v>25944.36</v>
      </c>
    </row>
    <row r="417" spans="3:11" ht="11.25">
      <c r="C417" s="3" t="s">
        <v>320</v>
      </c>
      <c r="D417" s="4" t="s">
        <v>374</v>
      </c>
      <c r="E417" s="40">
        <v>300</v>
      </c>
      <c r="F417" s="5">
        <v>33.5</v>
      </c>
      <c r="G417" s="5">
        <f t="shared" si="12"/>
        <v>20.1</v>
      </c>
      <c r="H417" s="5">
        <f t="shared" si="13"/>
        <v>1.4070000000000003</v>
      </c>
      <c r="I417" s="39">
        <f t="shared" si="14"/>
        <v>10028.493</v>
      </c>
      <c r="J417" s="11">
        <f>SUM(I415:I417,I412:I413,I407,I400:I402,I388:I389,I385,H373,H368,H366,H359,H292:H293,H288,H332)</f>
        <v>12021.318900000011</v>
      </c>
      <c r="K417" s="10"/>
    </row>
    <row r="418" spans="3:9" ht="11.25">
      <c r="C418" s="114" t="s">
        <v>403</v>
      </c>
      <c r="D418" s="115" t="s">
        <v>375</v>
      </c>
      <c r="E418" s="116">
        <v>1500</v>
      </c>
      <c r="F418" s="117">
        <v>10.3</v>
      </c>
      <c r="G418" s="117">
        <f t="shared" si="12"/>
        <v>30.900000000000006</v>
      </c>
      <c r="H418" s="117">
        <f t="shared" si="13"/>
        <v>2.1630000000000007</v>
      </c>
      <c r="I418" s="38">
        <f t="shared" si="14"/>
        <v>-15483.063000000002</v>
      </c>
    </row>
    <row r="419" spans="3:9" ht="11.25">
      <c r="C419" s="114" t="s">
        <v>367</v>
      </c>
      <c r="D419" s="115" t="s">
        <v>375</v>
      </c>
      <c r="E419" s="116">
        <v>2000</v>
      </c>
      <c r="F419" s="117">
        <v>8.75</v>
      </c>
      <c r="G419" s="117">
        <f t="shared" si="12"/>
        <v>35</v>
      </c>
      <c r="H419" s="117">
        <f t="shared" si="13"/>
        <v>2.45</v>
      </c>
      <c r="I419" s="38">
        <f t="shared" si="14"/>
        <v>-17537.45</v>
      </c>
    </row>
    <row r="420" spans="3:9" ht="11.25">
      <c r="C420" s="3" t="s">
        <v>299</v>
      </c>
      <c r="D420" s="4" t="s">
        <v>374</v>
      </c>
      <c r="E420" s="40">
        <v>2000</v>
      </c>
      <c r="F420" s="5">
        <v>3.58</v>
      </c>
      <c r="G420" s="5">
        <f t="shared" si="12"/>
        <v>14.32</v>
      </c>
      <c r="H420" s="5">
        <f t="shared" si="13"/>
        <v>1.0024000000000002</v>
      </c>
      <c r="I420" s="39">
        <f t="shared" si="14"/>
        <v>7144.6776</v>
      </c>
    </row>
    <row r="421" spans="3:9" ht="11.25">
      <c r="C421" s="3" t="s">
        <v>299</v>
      </c>
      <c r="D421" s="4" t="s">
        <v>375</v>
      </c>
      <c r="E421" s="40">
        <v>2000</v>
      </c>
      <c r="F421" s="5">
        <v>3.38</v>
      </c>
      <c r="G421" s="5">
        <f t="shared" si="12"/>
        <v>13.52</v>
      </c>
      <c r="H421" s="5">
        <f t="shared" si="13"/>
        <v>0.9464</v>
      </c>
      <c r="I421" s="39">
        <f t="shared" si="14"/>
        <v>-6774.4664</v>
      </c>
    </row>
    <row r="422" spans="3:9" ht="11.25">
      <c r="C422" s="3" t="s">
        <v>299</v>
      </c>
      <c r="D422" s="4" t="s">
        <v>375</v>
      </c>
      <c r="E422" s="40">
        <v>2000</v>
      </c>
      <c r="F422" s="5">
        <v>3.36</v>
      </c>
      <c r="G422" s="5">
        <f t="shared" si="12"/>
        <v>13.44</v>
      </c>
      <c r="H422" s="5">
        <f t="shared" si="13"/>
        <v>0.9408000000000001</v>
      </c>
      <c r="I422" s="5">
        <f t="shared" si="14"/>
        <v>-6734.3808</v>
      </c>
    </row>
    <row r="423" spans="1:9" ht="12" thickBot="1">
      <c r="A423" s="6"/>
      <c r="B423" s="42"/>
      <c r="C423" s="6"/>
      <c r="D423" s="7"/>
      <c r="E423" s="43"/>
      <c r="F423" s="8"/>
      <c r="G423" s="8"/>
      <c r="H423" s="14" t="s">
        <v>34</v>
      </c>
      <c r="I423" s="14">
        <f>SUM(I415:I422)</f>
        <v>6242.465899999998</v>
      </c>
    </row>
    <row r="424" spans="1:9" ht="11.25">
      <c r="A424" s="3" t="s">
        <v>379</v>
      </c>
      <c r="B424" s="37">
        <v>37854</v>
      </c>
      <c r="C424" s="114" t="s">
        <v>367</v>
      </c>
      <c r="D424" s="115" t="s">
        <v>375</v>
      </c>
      <c r="E424" s="116">
        <v>1500</v>
      </c>
      <c r="F424" s="117">
        <v>8.45</v>
      </c>
      <c r="G424" s="117">
        <f t="shared" si="12"/>
        <v>25.349999999999998</v>
      </c>
      <c r="H424" s="117">
        <f t="shared" si="13"/>
        <v>1.7745</v>
      </c>
      <c r="I424" s="117">
        <f t="shared" si="14"/>
        <v>-12702.124499999998</v>
      </c>
    </row>
    <row r="425" spans="3:9" ht="11.25">
      <c r="C425" s="114" t="s">
        <v>367</v>
      </c>
      <c r="D425" s="115" t="s">
        <v>375</v>
      </c>
      <c r="E425" s="116">
        <v>1500</v>
      </c>
      <c r="F425" s="117">
        <v>8.4</v>
      </c>
      <c r="G425" s="117">
        <f t="shared" si="12"/>
        <v>25.2</v>
      </c>
      <c r="H425" s="117">
        <f t="shared" si="13"/>
        <v>1.764</v>
      </c>
      <c r="I425" s="117">
        <f t="shared" si="14"/>
        <v>-12626.964</v>
      </c>
    </row>
    <row r="426" spans="3:9" ht="11.25">
      <c r="C426" s="114" t="s">
        <v>367</v>
      </c>
      <c r="D426" s="115" t="s">
        <v>375</v>
      </c>
      <c r="E426" s="116">
        <v>500</v>
      </c>
      <c r="F426" s="117">
        <v>8.3</v>
      </c>
      <c r="G426" s="117">
        <f t="shared" si="12"/>
        <v>8.3</v>
      </c>
      <c r="H426" s="117">
        <f t="shared" si="13"/>
        <v>0.5810000000000001</v>
      </c>
      <c r="I426" s="117">
        <f t="shared" si="14"/>
        <v>-4158.881</v>
      </c>
    </row>
    <row r="427" spans="3:10" ht="11.25">
      <c r="C427" s="114" t="s">
        <v>367</v>
      </c>
      <c r="D427" s="115" t="s">
        <v>374</v>
      </c>
      <c r="E427" s="116">
        <v>5000</v>
      </c>
      <c r="F427" s="117">
        <v>8.25</v>
      </c>
      <c r="G427" s="117">
        <f t="shared" si="12"/>
        <v>82.5</v>
      </c>
      <c r="H427" s="117">
        <f t="shared" si="13"/>
        <v>5.775</v>
      </c>
      <c r="I427" s="117">
        <f t="shared" si="14"/>
        <v>41161.725</v>
      </c>
      <c r="J427" s="18"/>
    </row>
    <row r="428" spans="3:9" ht="11.25">
      <c r="C428" s="3" t="s">
        <v>299</v>
      </c>
      <c r="D428" s="4" t="s">
        <v>374</v>
      </c>
      <c r="E428" s="40">
        <v>3000</v>
      </c>
      <c r="F428" s="5">
        <v>3.5</v>
      </c>
      <c r="G428" s="5">
        <f t="shared" si="12"/>
        <v>21</v>
      </c>
      <c r="H428" s="5">
        <f t="shared" si="13"/>
        <v>1.4700000000000002</v>
      </c>
      <c r="I428" s="39">
        <f t="shared" si="14"/>
        <v>10477.53</v>
      </c>
    </row>
    <row r="429" spans="1:9" ht="12" thickBot="1">
      <c r="A429" s="6"/>
      <c r="B429" s="42"/>
      <c r="C429" s="6"/>
      <c r="D429" s="7"/>
      <c r="E429" s="43"/>
      <c r="F429" s="8"/>
      <c r="G429" s="8"/>
      <c r="H429" s="14" t="s">
        <v>34</v>
      </c>
      <c r="I429" s="14">
        <f>SUM(I424:I428)</f>
        <v>22151.285499999998</v>
      </c>
    </row>
    <row r="430" spans="1:9" ht="11.25">
      <c r="A430" s="3" t="s">
        <v>381</v>
      </c>
      <c r="B430" s="37">
        <v>37855</v>
      </c>
      <c r="C430" s="3" t="s">
        <v>299</v>
      </c>
      <c r="D430" s="4" t="s">
        <v>374</v>
      </c>
      <c r="E430" s="40">
        <v>2000</v>
      </c>
      <c r="F430" s="5">
        <v>3.48</v>
      </c>
      <c r="G430" s="5">
        <f t="shared" si="12"/>
        <v>13.92</v>
      </c>
      <c r="H430" s="5">
        <f t="shared" si="13"/>
        <v>0.9744</v>
      </c>
      <c r="I430" s="39">
        <f t="shared" si="14"/>
        <v>6945.1056</v>
      </c>
    </row>
    <row r="431" spans="3:11" ht="11.25">
      <c r="C431" s="3" t="s">
        <v>299</v>
      </c>
      <c r="D431" s="4" t="s">
        <v>374</v>
      </c>
      <c r="E431" s="40">
        <v>6000</v>
      </c>
      <c r="F431" s="5">
        <v>3.62</v>
      </c>
      <c r="G431" s="5">
        <f t="shared" si="12"/>
        <v>43.44</v>
      </c>
      <c r="H431" s="5">
        <f t="shared" si="13"/>
        <v>3.0408</v>
      </c>
      <c r="I431" s="39">
        <f t="shared" si="14"/>
        <v>21673.519200000002</v>
      </c>
      <c r="J431" s="11">
        <f>SUM(I430:I431,I428,I420:I422,I409:I410,I405,I392,I386,H360,H350:H352,H340,H329:H330,H322:H323,H320,H315,H313,H309,H295,H286:H287,H275,H270,H265,H259)</f>
        <v>13479.976600000009</v>
      </c>
      <c r="K431" s="10"/>
    </row>
    <row r="432" spans="1:9" ht="12" thickBot="1">
      <c r="A432" s="6"/>
      <c r="B432" s="42"/>
      <c r="C432" s="6"/>
      <c r="D432" s="7"/>
      <c r="E432" s="43"/>
      <c r="F432" s="8"/>
      <c r="G432" s="8"/>
      <c r="H432" s="14" t="s">
        <v>34</v>
      </c>
      <c r="I432" s="14">
        <f>SUM(I430:I431)</f>
        <v>28618.6248</v>
      </c>
    </row>
    <row r="433" spans="1:9" ht="11.25">
      <c r="A433" s="3" t="s">
        <v>373</v>
      </c>
      <c r="B433" s="37">
        <v>37858</v>
      </c>
      <c r="C433" s="3" t="s">
        <v>404</v>
      </c>
      <c r="D433" s="4" t="s">
        <v>375</v>
      </c>
      <c r="E433" s="40">
        <v>300</v>
      </c>
      <c r="F433" s="5">
        <v>29.25</v>
      </c>
      <c r="G433" s="5">
        <f t="shared" si="12"/>
        <v>17.55</v>
      </c>
      <c r="H433" s="5">
        <f t="shared" si="13"/>
        <v>1.2285000000000001</v>
      </c>
      <c r="I433" s="39">
        <f t="shared" si="14"/>
        <v>-8793.778499999999</v>
      </c>
    </row>
    <row r="434" spans="1:9" ht="12" thickBot="1">
      <c r="A434" s="6"/>
      <c r="B434" s="42"/>
      <c r="C434" s="6"/>
      <c r="D434" s="7"/>
      <c r="E434" s="43"/>
      <c r="F434" s="8"/>
      <c r="G434" s="8"/>
      <c r="H434" s="13" t="s">
        <v>14</v>
      </c>
      <c r="I434" s="13">
        <f>I433</f>
        <v>-8793.778499999999</v>
      </c>
    </row>
    <row r="435" spans="1:9" ht="11.25">
      <c r="A435" s="3" t="s">
        <v>402</v>
      </c>
      <c r="B435" s="37">
        <v>37859</v>
      </c>
      <c r="C435" s="114" t="s">
        <v>320</v>
      </c>
      <c r="D435" s="115" t="s">
        <v>375</v>
      </c>
      <c r="E435" s="116">
        <v>200</v>
      </c>
      <c r="F435" s="117">
        <v>31.25</v>
      </c>
      <c r="G435" s="117">
        <f t="shared" si="12"/>
        <v>12.5</v>
      </c>
      <c r="H435" s="117">
        <f t="shared" si="13"/>
        <v>0.8750000000000001</v>
      </c>
      <c r="I435" s="38">
        <f t="shared" si="14"/>
        <v>-6263.375</v>
      </c>
    </row>
    <row r="436" spans="1:9" ht="12" thickBot="1">
      <c r="A436" s="6"/>
      <c r="B436" s="42"/>
      <c r="C436" s="6"/>
      <c r="D436" s="7"/>
      <c r="E436" s="43"/>
      <c r="F436" s="8"/>
      <c r="G436" s="8"/>
      <c r="H436" s="13" t="s">
        <v>14</v>
      </c>
      <c r="I436" s="13">
        <f>I435</f>
        <v>-6263.375</v>
      </c>
    </row>
    <row r="437" spans="1:9" ht="11.25">
      <c r="A437" s="3" t="s">
        <v>377</v>
      </c>
      <c r="B437" s="37">
        <v>37860</v>
      </c>
      <c r="C437" s="3" t="s">
        <v>405</v>
      </c>
      <c r="D437" s="4" t="s">
        <v>375</v>
      </c>
      <c r="E437" s="40">
        <v>500</v>
      </c>
      <c r="F437" s="5">
        <v>35.25</v>
      </c>
      <c r="G437" s="5">
        <f t="shared" si="12"/>
        <v>35.25</v>
      </c>
      <c r="H437" s="5">
        <f t="shared" si="13"/>
        <v>2.4675000000000002</v>
      </c>
      <c r="I437" s="39">
        <f t="shared" si="14"/>
        <v>-17662.7175</v>
      </c>
    </row>
    <row r="438" spans="3:10" ht="11.25">
      <c r="C438" s="3" t="s">
        <v>405</v>
      </c>
      <c r="D438" s="4" t="s">
        <v>374</v>
      </c>
      <c r="E438" s="40">
        <v>500</v>
      </c>
      <c r="F438" s="5">
        <v>36</v>
      </c>
      <c r="G438" s="5">
        <f t="shared" si="12"/>
        <v>36</v>
      </c>
      <c r="H438" s="5">
        <f t="shared" si="13"/>
        <v>2.5200000000000005</v>
      </c>
      <c r="I438" s="39">
        <f t="shared" si="14"/>
        <v>17961.48</v>
      </c>
      <c r="J438" s="11">
        <f>SUM(I437:I438)</f>
        <v>298.7625000000007</v>
      </c>
    </row>
    <row r="439" spans="3:9" ht="11.25">
      <c r="C439" s="3" t="s">
        <v>335</v>
      </c>
      <c r="D439" s="4" t="s">
        <v>375</v>
      </c>
      <c r="E439" s="40">
        <v>1000</v>
      </c>
      <c r="F439" s="5">
        <v>19.4</v>
      </c>
      <c r="G439" s="5">
        <f t="shared" si="12"/>
        <v>38.800000000000004</v>
      </c>
      <c r="H439" s="5">
        <f t="shared" si="13"/>
        <v>2.7160000000000006</v>
      </c>
      <c r="I439" s="39">
        <f t="shared" si="14"/>
        <v>-19441.516</v>
      </c>
    </row>
    <row r="440" spans="1:9" ht="12" thickBot="1">
      <c r="A440" s="6"/>
      <c r="B440" s="42"/>
      <c r="C440" s="6"/>
      <c r="D440" s="7"/>
      <c r="E440" s="43"/>
      <c r="F440" s="8"/>
      <c r="G440" s="8"/>
      <c r="H440" s="13" t="s">
        <v>14</v>
      </c>
      <c r="I440" s="13">
        <f>SUM(I437:I439)</f>
        <v>-19142.7535</v>
      </c>
    </row>
    <row r="441" spans="1:9" ht="11.25">
      <c r="A441" s="3" t="s">
        <v>379</v>
      </c>
      <c r="B441" s="37">
        <v>37861</v>
      </c>
      <c r="C441" s="3" t="s">
        <v>335</v>
      </c>
      <c r="D441" s="4" t="s">
        <v>374</v>
      </c>
      <c r="E441" s="40">
        <v>500</v>
      </c>
      <c r="F441" s="5">
        <v>21.9</v>
      </c>
      <c r="G441" s="5">
        <f t="shared" si="12"/>
        <v>21.900000000000002</v>
      </c>
      <c r="H441" s="5">
        <f t="shared" si="13"/>
        <v>1.5330000000000004</v>
      </c>
      <c r="I441" s="39">
        <f t="shared" si="14"/>
        <v>10926.567000000001</v>
      </c>
    </row>
    <row r="442" spans="3:10" ht="11.25">
      <c r="C442" s="3" t="s">
        <v>335</v>
      </c>
      <c r="D442" s="4" t="s">
        <v>374</v>
      </c>
      <c r="E442" s="40">
        <v>500</v>
      </c>
      <c r="F442" s="5">
        <v>22</v>
      </c>
      <c r="G442" s="5">
        <f t="shared" si="12"/>
        <v>22</v>
      </c>
      <c r="H442" s="5">
        <f t="shared" si="13"/>
        <v>1.54</v>
      </c>
      <c r="I442" s="39">
        <f t="shared" si="14"/>
        <v>10976.46</v>
      </c>
      <c r="J442" s="11">
        <f>SUM(I441:I442,I439)</f>
        <v>2461.5110000000022</v>
      </c>
    </row>
    <row r="443" spans="3:10" ht="11.25">
      <c r="C443" s="3" t="s">
        <v>404</v>
      </c>
      <c r="D443" s="4" t="s">
        <v>374</v>
      </c>
      <c r="E443" s="40">
        <v>300</v>
      </c>
      <c r="F443" s="5">
        <v>37.5</v>
      </c>
      <c r="G443" s="5">
        <f t="shared" si="12"/>
        <v>22.5</v>
      </c>
      <c r="H443" s="5">
        <f t="shared" si="13"/>
        <v>1.5750000000000002</v>
      </c>
      <c r="I443" s="39">
        <f t="shared" si="14"/>
        <v>11225.925</v>
      </c>
      <c r="J443" s="11">
        <f>SUM(I443,I433)</f>
        <v>2432.1465000000007</v>
      </c>
    </row>
    <row r="444" spans="3:9" ht="11.25">
      <c r="C444" s="114" t="s">
        <v>404</v>
      </c>
      <c r="D444" s="115" t="s">
        <v>375</v>
      </c>
      <c r="E444" s="116">
        <v>500</v>
      </c>
      <c r="F444" s="117">
        <v>37</v>
      </c>
      <c r="G444" s="117">
        <f t="shared" si="12"/>
        <v>37</v>
      </c>
      <c r="H444" s="117">
        <f t="shared" si="13"/>
        <v>2.5900000000000003</v>
      </c>
      <c r="I444" s="38">
        <f t="shared" si="14"/>
        <v>-18539.59</v>
      </c>
    </row>
    <row r="445" spans="3:9" ht="11.25">
      <c r="C445" s="114" t="s">
        <v>320</v>
      </c>
      <c r="D445" s="115" t="s">
        <v>375</v>
      </c>
      <c r="E445" s="116">
        <v>400</v>
      </c>
      <c r="F445" s="117">
        <v>32.25</v>
      </c>
      <c r="G445" s="117">
        <f t="shared" si="12"/>
        <v>25.8</v>
      </c>
      <c r="H445" s="117">
        <f t="shared" si="13"/>
        <v>1.8060000000000003</v>
      </c>
      <c r="I445" s="38">
        <f t="shared" si="14"/>
        <v>-12927.606</v>
      </c>
    </row>
    <row r="446" spans="1:9" ht="12" thickBot="1">
      <c r="A446" s="6"/>
      <c r="B446" s="42"/>
      <c r="C446" s="6"/>
      <c r="D446" s="7"/>
      <c r="E446" s="43"/>
      <c r="F446" s="8"/>
      <c r="G446" s="8"/>
      <c r="H446" s="14" t="s">
        <v>34</v>
      </c>
      <c r="I446" s="14">
        <f>SUM(I441:I445)</f>
        <v>1661.7560000000049</v>
      </c>
    </row>
    <row r="447" spans="1:9" ht="11.25">
      <c r="A447" s="3" t="s">
        <v>373</v>
      </c>
      <c r="B447" s="37">
        <v>37865</v>
      </c>
      <c r="C447" s="114" t="s">
        <v>320</v>
      </c>
      <c r="D447" s="115" t="s">
        <v>375</v>
      </c>
      <c r="E447" s="116">
        <v>500</v>
      </c>
      <c r="F447" s="117">
        <v>32.25</v>
      </c>
      <c r="G447" s="117">
        <f t="shared" si="12"/>
        <v>32.25</v>
      </c>
      <c r="H447" s="117">
        <f t="shared" si="13"/>
        <v>2.2575000000000003</v>
      </c>
      <c r="I447" s="38">
        <f t="shared" si="14"/>
        <v>-16159.5075</v>
      </c>
    </row>
    <row r="448" spans="1:9" ht="12" thickBot="1">
      <c r="A448" s="6"/>
      <c r="B448" s="42"/>
      <c r="C448" s="6"/>
      <c r="D448" s="7"/>
      <c r="E448" s="43"/>
      <c r="F448" s="8"/>
      <c r="G448" s="8"/>
      <c r="H448" s="13" t="s">
        <v>14</v>
      </c>
      <c r="I448" s="13">
        <f>I447</f>
        <v>-16159.5075</v>
      </c>
    </row>
    <row r="449" spans="1:9" ht="11.25">
      <c r="A449" s="3" t="s">
        <v>402</v>
      </c>
      <c r="B449" s="37">
        <v>37866</v>
      </c>
      <c r="C449" s="114" t="s">
        <v>320</v>
      </c>
      <c r="D449" s="115" t="s">
        <v>374</v>
      </c>
      <c r="E449" s="116">
        <v>500</v>
      </c>
      <c r="F449" s="117">
        <v>34</v>
      </c>
      <c r="G449" s="117">
        <f t="shared" si="12"/>
        <v>34</v>
      </c>
      <c r="H449" s="117">
        <f t="shared" si="13"/>
        <v>2.3800000000000003</v>
      </c>
      <c r="I449" s="38">
        <f t="shared" si="14"/>
        <v>16963.62</v>
      </c>
    </row>
    <row r="450" spans="3:9" ht="11.25">
      <c r="C450" s="114" t="s">
        <v>254</v>
      </c>
      <c r="D450" s="115" t="s">
        <v>375</v>
      </c>
      <c r="E450" s="116">
        <v>300</v>
      </c>
      <c r="F450" s="117">
        <v>45.25</v>
      </c>
      <c r="G450" s="117">
        <f>($E450*$F450)*0.002</f>
        <v>27.150000000000002</v>
      </c>
      <c r="H450" s="117">
        <f>$G450*0.07</f>
        <v>1.9005000000000003</v>
      </c>
      <c r="I450" s="38">
        <f>IF($D450="B",(($E450*$F450)+$G450+$H450)*(-1),IF($D450="S",($E450*$F450)-$G450-$H450))</f>
        <v>-13604.0505</v>
      </c>
    </row>
    <row r="451" spans="3:9" ht="11.25">
      <c r="C451" s="114" t="s">
        <v>417</v>
      </c>
      <c r="D451" s="115" t="s">
        <v>375</v>
      </c>
      <c r="E451" s="116">
        <v>500</v>
      </c>
      <c r="F451" s="117">
        <v>43</v>
      </c>
      <c r="G451" s="117">
        <f>($E451*$F451)*0.002</f>
        <v>43</v>
      </c>
      <c r="H451" s="117">
        <f>$G451*0.07</f>
        <v>3.0100000000000002</v>
      </c>
      <c r="I451" s="38">
        <f>IF($D451="B",(($E451*$F451)+$G451+$H451)*(-1),IF($D451="S",($E451*$F451)-$G451-$H451))</f>
        <v>-21546.01</v>
      </c>
    </row>
    <row r="452" spans="1:9" ht="12" thickBot="1">
      <c r="A452" s="6"/>
      <c r="B452" s="42"/>
      <c r="C452" s="6"/>
      <c r="D452" s="7"/>
      <c r="E452" s="43"/>
      <c r="F452" s="8"/>
      <c r="G452" s="8"/>
      <c r="H452" s="13" t="s">
        <v>14</v>
      </c>
      <c r="I452" s="13">
        <f>SUM(I449:I451)</f>
        <v>-18186.440499999997</v>
      </c>
    </row>
    <row r="453" spans="1:9" ht="11.25">
      <c r="A453" s="28" t="s">
        <v>377</v>
      </c>
      <c r="B453" s="126">
        <v>37867</v>
      </c>
      <c r="C453" s="119" t="s">
        <v>417</v>
      </c>
      <c r="D453" s="120" t="s">
        <v>375</v>
      </c>
      <c r="E453" s="121">
        <v>100</v>
      </c>
      <c r="F453" s="122">
        <v>44</v>
      </c>
      <c r="G453" s="122">
        <f>($E453*$F453)*0.002</f>
        <v>8.8</v>
      </c>
      <c r="H453" s="122">
        <f>$G453*0.07</f>
        <v>0.6160000000000001</v>
      </c>
      <c r="I453" s="122">
        <f>IF($D453="B",(($E453*$F453)+$G453+$H453)*(-1),IF($D453="S",($E453*$F453)-$G453-$H453))</f>
        <v>-4409.416</v>
      </c>
    </row>
    <row r="454" spans="3:9" ht="11.25">
      <c r="C454" s="114" t="s">
        <v>404</v>
      </c>
      <c r="D454" s="115" t="s">
        <v>375</v>
      </c>
      <c r="E454" s="116">
        <v>500</v>
      </c>
      <c r="F454" s="117">
        <v>35.5</v>
      </c>
      <c r="G454" s="117">
        <f>($E454*$F454)*0.002</f>
        <v>35.5</v>
      </c>
      <c r="H454" s="117">
        <f>$G454*0.07</f>
        <v>2.4850000000000003</v>
      </c>
      <c r="I454" s="117">
        <f>IF($D454="B",(($E454*$F454)+$G454+$H454)*(-1),IF($D454="S",($E454*$F454)-$G454-$H454))</f>
        <v>-17787.985</v>
      </c>
    </row>
    <row r="455" spans="1:9" ht="12" thickBot="1">
      <c r="A455" s="6"/>
      <c r="B455" s="42"/>
      <c r="C455" s="6"/>
      <c r="D455" s="7"/>
      <c r="E455" s="43"/>
      <c r="F455" s="8"/>
      <c r="G455" s="8"/>
      <c r="H455" s="13" t="s">
        <v>14</v>
      </c>
      <c r="I455" s="113">
        <f>SUM(I453:I454)</f>
        <v>-22197.401</v>
      </c>
    </row>
    <row r="456" spans="1:9" ht="11.25">
      <c r="A456" s="3" t="s">
        <v>379</v>
      </c>
      <c r="B456" s="37">
        <v>37868</v>
      </c>
      <c r="C456" s="114" t="s">
        <v>420</v>
      </c>
      <c r="D456" s="115" t="s">
        <v>375</v>
      </c>
      <c r="E456" s="116">
        <v>5000</v>
      </c>
      <c r="F456" s="117">
        <v>4.18</v>
      </c>
      <c r="G456" s="117">
        <f>($E456*$F456)*0.002</f>
        <v>41.800000000000004</v>
      </c>
      <c r="H456" s="117">
        <f>$G456*0.07</f>
        <v>2.9260000000000006</v>
      </c>
      <c r="I456" s="117">
        <f>IF($D456="B",(($E456*$F456)+$G456+$H456)*(-1),IF($D456="S",($E456*$F456)-$G456-$H456))</f>
        <v>-20944.726</v>
      </c>
    </row>
    <row r="457" spans="3:9" ht="11.25">
      <c r="C457" s="114" t="s">
        <v>421</v>
      </c>
      <c r="D457" s="115" t="s">
        <v>375</v>
      </c>
      <c r="E457" s="116">
        <v>3000</v>
      </c>
      <c r="F457" s="117">
        <v>6.35</v>
      </c>
      <c r="G457" s="117">
        <f>($E457*$F457)*0.002</f>
        <v>38.1</v>
      </c>
      <c r="H457" s="117">
        <f>$G457*0.07</f>
        <v>2.6670000000000003</v>
      </c>
      <c r="I457" s="117">
        <f>IF($D457="B",(($E457*$F457)+$G457+$H457)*(-1),IF($D457="S",($E457*$F457)-$G457-$H457))</f>
        <v>-19090.767</v>
      </c>
    </row>
    <row r="458" spans="1:9" ht="12" thickBot="1">
      <c r="A458" s="6"/>
      <c r="B458" s="42"/>
      <c r="C458" s="6"/>
      <c r="D458" s="7"/>
      <c r="E458" s="43"/>
      <c r="F458" s="8"/>
      <c r="G458" s="8"/>
      <c r="H458" s="13" t="s">
        <v>14</v>
      </c>
      <c r="I458" s="13">
        <f>SUM(I456:I457)</f>
        <v>-40035.493</v>
      </c>
    </row>
    <row r="459" spans="1:9" ht="11.25">
      <c r="A459" s="3" t="s">
        <v>381</v>
      </c>
      <c r="B459" s="37">
        <v>37869</v>
      </c>
      <c r="C459" s="114" t="s">
        <v>420</v>
      </c>
      <c r="D459" s="115" t="s">
        <v>375</v>
      </c>
      <c r="E459" s="116">
        <v>2000</v>
      </c>
      <c r="F459" s="117">
        <v>4.18</v>
      </c>
      <c r="G459" s="117">
        <f>($E459*$F459)*0.002</f>
        <v>16.72</v>
      </c>
      <c r="H459" s="117">
        <f>$G459*0.07</f>
        <v>1.1704</v>
      </c>
      <c r="I459" s="117">
        <f>IF($D459="B",(($E459*$F459)+$G459+$H459)*(-1),IF($D459="S",($E459*$F459)-$G459-$H459))</f>
        <v>-8377.8904</v>
      </c>
    </row>
    <row r="460" spans="3:10" ht="11.25">
      <c r="C460" s="114" t="s">
        <v>320</v>
      </c>
      <c r="D460" s="115" t="s">
        <v>374</v>
      </c>
      <c r="E460" s="116">
        <v>600</v>
      </c>
      <c r="F460" s="117">
        <v>41.75</v>
      </c>
      <c r="G460" s="117">
        <f>($E460*$F460)*0.002</f>
        <v>50.1</v>
      </c>
      <c r="H460" s="117">
        <f>$G460*0.07</f>
        <v>3.5070000000000006</v>
      </c>
      <c r="I460" s="117">
        <f>IF($D460="B",(($E460*$F460)+$G460+$H460)*(-1),IF($D460="S",($E460*$F460)-$G460-$H460))</f>
        <v>24996.393</v>
      </c>
      <c r="J460" s="11">
        <f>SUM(I460,I449,I447,I445,I435,)</f>
        <v>6609.5244999999995</v>
      </c>
    </row>
    <row r="461" spans="3:9" ht="11.25">
      <c r="C461" s="114" t="s">
        <v>320</v>
      </c>
      <c r="D461" s="115" t="s">
        <v>375</v>
      </c>
      <c r="E461" s="116">
        <v>300</v>
      </c>
      <c r="F461" s="117">
        <v>41.25</v>
      </c>
      <c r="G461" s="117">
        <f>($E461*$F461)*0.002</f>
        <v>24.75</v>
      </c>
      <c r="H461" s="117">
        <f>$G461*0.07</f>
        <v>1.7325000000000002</v>
      </c>
      <c r="I461" s="117">
        <f>IF($D461="B",(($E461*$F461)+$G461+$H461)*(-1),IF($D461="S",($E461*$F461)-$G461-$H461))</f>
        <v>-12401.4825</v>
      </c>
    </row>
    <row r="462" spans="3:9" ht="11.25">
      <c r="C462" s="114" t="s">
        <v>320</v>
      </c>
      <c r="D462" s="115" t="s">
        <v>375</v>
      </c>
      <c r="E462" s="116">
        <v>300</v>
      </c>
      <c r="F462" s="117">
        <v>41</v>
      </c>
      <c r="G462" s="117">
        <f>($E462*$F462)*0.002</f>
        <v>24.6</v>
      </c>
      <c r="H462" s="117">
        <f>$G462*0.07</f>
        <v>1.7220000000000002</v>
      </c>
      <c r="I462" s="117">
        <f>IF($D462="B",(($E462*$F462)+$G462+$H462)*(-1),IF($D462="S",($E462*$F462)-$G462-$H462))</f>
        <v>-12326.322</v>
      </c>
    </row>
    <row r="463" spans="1:9" ht="12" thickBot="1">
      <c r="A463" s="6"/>
      <c r="B463" s="42"/>
      <c r="C463" s="6"/>
      <c r="D463" s="7"/>
      <c r="E463" s="43"/>
      <c r="F463" s="8"/>
      <c r="G463" s="8"/>
      <c r="H463" s="13" t="s">
        <v>14</v>
      </c>
      <c r="I463" s="13">
        <f>SUM(I459:I462)</f>
        <v>-8109.3019</v>
      </c>
    </row>
    <row r="464" spans="1:9" ht="11.25">
      <c r="A464" s="3" t="s">
        <v>373</v>
      </c>
      <c r="B464" s="37">
        <v>37872</v>
      </c>
      <c r="C464" s="114" t="s">
        <v>320</v>
      </c>
      <c r="D464" s="115" t="s">
        <v>374</v>
      </c>
      <c r="E464" s="116">
        <v>600</v>
      </c>
      <c r="F464" s="117">
        <v>43.5</v>
      </c>
      <c r="G464" s="117">
        <f>($E464*$F464)*0.002</f>
        <v>52.2</v>
      </c>
      <c r="H464" s="117">
        <f>$G464*0.07</f>
        <v>3.6540000000000004</v>
      </c>
      <c r="I464" s="117">
        <f>IF($D464="B",(($E464*$F464)+$G464+$H464)*(-1),IF($D464="S",($E464*$F464)-$G464-$H464))</f>
        <v>26044.146</v>
      </c>
    </row>
    <row r="465" spans="3:9" ht="11.25">
      <c r="C465" s="114" t="s">
        <v>320</v>
      </c>
      <c r="D465" s="115" t="s">
        <v>375</v>
      </c>
      <c r="E465" s="116">
        <v>300</v>
      </c>
      <c r="F465" s="117">
        <v>42.5</v>
      </c>
      <c r="G465" s="117">
        <f>($E465*$F465)*0.002</f>
        <v>25.5</v>
      </c>
      <c r="H465" s="117">
        <f>$G465*0.07</f>
        <v>1.7850000000000001</v>
      </c>
      <c r="I465" s="117">
        <f>IF($D465="B",(($E465*$F465)+$G465+$H465)*(-1),IF($D465="S",($E465*$F465)-$G465-$H465))</f>
        <v>-12777.285</v>
      </c>
    </row>
    <row r="466" spans="3:11" ht="11.25">
      <c r="C466" s="114" t="s">
        <v>320</v>
      </c>
      <c r="D466" s="115" t="s">
        <v>374</v>
      </c>
      <c r="E466" s="116">
        <v>300</v>
      </c>
      <c r="F466" s="117">
        <v>46</v>
      </c>
      <c r="G466" s="117">
        <f>($E466*$F466)*0.002</f>
        <v>27.6</v>
      </c>
      <c r="H466" s="117">
        <f>$G466*0.07</f>
        <v>1.9320000000000004</v>
      </c>
      <c r="I466" s="117">
        <f>IF($D466="B",(($E466*$F466)+$G466+$H466)*(-1),IF($D466="S",($E466*$F466)-$G466-$H466))</f>
        <v>13770.467999999999</v>
      </c>
      <c r="J466" s="11">
        <f>SUM(I464:I466,I461:I462)</f>
        <v>2309.5244999999977</v>
      </c>
      <c r="K466" s="10"/>
    </row>
    <row r="467" spans="3:9" ht="11.25">
      <c r="C467" s="114" t="s">
        <v>417</v>
      </c>
      <c r="D467" s="115" t="s">
        <v>374</v>
      </c>
      <c r="E467" s="116">
        <v>300</v>
      </c>
      <c r="F467" s="117">
        <v>52.5</v>
      </c>
      <c r="G467" s="117">
        <f>($E467*$F467)*0.002</f>
        <v>31.5</v>
      </c>
      <c r="H467" s="117">
        <f>$G467*0.07</f>
        <v>2.205</v>
      </c>
      <c r="I467" s="38">
        <f>IF($D467="B",(($E467*$F467)+$G467+$H467)*(-1),IF($D467="S",($E467*$F467)-$G467-$H467))</f>
        <v>15716.295</v>
      </c>
    </row>
    <row r="468" spans="3:9" ht="11.25">
      <c r="C468" s="114" t="s">
        <v>254</v>
      </c>
      <c r="D468" s="115" t="s">
        <v>375</v>
      </c>
      <c r="E468" s="116">
        <v>300</v>
      </c>
      <c r="F468" s="117">
        <v>47</v>
      </c>
      <c r="G468" s="117">
        <f>($E468*$F468)*0.002</f>
        <v>28.2</v>
      </c>
      <c r="H468" s="117">
        <f>$G468*0.07</f>
        <v>1.9740000000000002</v>
      </c>
      <c r="I468" s="38">
        <f>IF($D468="B",(($E468*$F468)+$G468+$H468)*(-1),IF($D468="S",($E468*$F468)-$G468-$H468))</f>
        <v>-14130.174</v>
      </c>
    </row>
    <row r="469" spans="1:9" ht="12" thickBot="1">
      <c r="A469" s="6"/>
      <c r="B469" s="42"/>
      <c r="C469" s="6"/>
      <c r="D469" s="7"/>
      <c r="E469" s="43"/>
      <c r="F469" s="8"/>
      <c r="G469" s="8"/>
      <c r="H469" s="14" t="s">
        <v>34</v>
      </c>
      <c r="I469" s="14">
        <f>SUM(I464:I468)</f>
        <v>28623.449999999997</v>
      </c>
    </row>
    <row r="470" spans="1:9" ht="11.25">
      <c r="A470" s="3" t="s">
        <v>402</v>
      </c>
      <c r="B470" s="37">
        <v>37873</v>
      </c>
      <c r="C470" s="114" t="s">
        <v>320</v>
      </c>
      <c r="D470" s="115" t="s">
        <v>375</v>
      </c>
      <c r="E470" s="116">
        <v>500</v>
      </c>
      <c r="F470" s="117">
        <v>40.75</v>
      </c>
      <c r="G470" s="117">
        <f>($E470*$F470)*0.002</f>
        <v>40.75</v>
      </c>
      <c r="H470" s="117">
        <f>$G470*0.07</f>
        <v>2.8525000000000005</v>
      </c>
      <c r="I470" s="38">
        <f>IF($D470="B",(($E470*$F470)+$G470+$H470)*(-1),IF($D470="S",($E470*$F470)-$G470-$H470))</f>
        <v>-20418.6025</v>
      </c>
    </row>
    <row r="471" spans="3:9" ht="11.25">
      <c r="C471" s="114" t="s">
        <v>254</v>
      </c>
      <c r="D471" s="115" t="s">
        <v>375</v>
      </c>
      <c r="E471" s="116">
        <v>200</v>
      </c>
      <c r="F471" s="117">
        <v>46</v>
      </c>
      <c r="G471" s="117">
        <f>($E471*$F471)*0.002</f>
        <v>18.400000000000002</v>
      </c>
      <c r="H471" s="117">
        <f>$G471*0.07</f>
        <v>1.2880000000000003</v>
      </c>
      <c r="I471" s="38">
        <f>IF($D471="B",(($E471*$F471)+$G471+$H471)*(-1),IF($D471="S",($E471*$F471)-$G471-$H471))</f>
        <v>-9219.688</v>
      </c>
    </row>
    <row r="472" spans="3:9" ht="11.25">
      <c r="C472" s="114" t="s">
        <v>403</v>
      </c>
      <c r="D472" s="115" t="s">
        <v>375</v>
      </c>
      <c r="E472" s="116">
        <v>2000</v>
      </c>
      <c r="F472" s="117">
        <v>11.3</v>
      </c>
      <c r="G472" s="117">
        <f>($E472*$F472)*0.002</f>
        <v>45.2</v>
      </c>
      <c r="H472" s="117">
        <f>$G472*0.07</f>
        <v>3.1640000000000006</v>
      </c>
      <c r="I472" s="38">
        <f>IF($D472="B",(($E472*$F472)+$G472+$H472)*(-1),IF($D472="S",($E472*$F472)-$G472-$H472))</f>
        <v>-22648.364</v>
      </c>
    </row>
    <row r="473" spans="1:9" ht="12" thickBot="1">
      <c r="A473" s="6"/>
      <c r="B473" s="42"/>
      <c r="C473" s="6"/>
      <c r="D473" s="7"/>
      <c r="E473" s="43"/>
      <c r="F473" s="8"/>
      <c r="G473" s="8"/>
      <c r="H473" s="13" t="s">
        <v>14</v>
      </c>
      <c r="I473" s="13">
        <f>SUM(I470:I472)</f>
        <v>-52286.654500000004</v>
      </c>
    </row>
    <row r="474" spans="1:9" ht="11.25">
      <c r="A474" s="3" t="s">
        <v>377</v>
      </c>
      <c r="B474" s="37">
        <v>37874</v>
      </c>
      <c r="C474" s="114" t="s">
        <v>420</v>
      </c>
      <c r="D474" s="115" t="s">
        <v>374</v>
      </c>
      <c r="E474" s="116">
        <v>5000</v>
      </c>
      <c r="F474" s="117">
        <v>4.2</v>
      </c>
      <c r="G474" s="117">
        <f aca="true" t="shared" si="15" ref="G474:G537">($E474*$F474)*0.002</f>
        <v>42</v>
      </c>
      <c r="H474" s="117">
        <f aca="true" t="shared" si="16" ref="H474:H537">$G474*0.07</f>
        <v>2.9400000000000004</v>
      </c>
      <c r="I474" s="38">
        <f aca="true" t="shared" si="17" ref="I474:I537">IF($D474="B",(($E474*$F474)+$G474+$H474)*(-1),IF($D474="S",($E474*$F474)-$G474-$H474))</f>
        <v>20955.06</v>
      </c>
    </row>
    <row r="475" spans="3:10" ht="11.25">
      <c r="C475" s="114" t="s">
        <v>420</v>
      </c>
      <c r="D475" s="115" t="s">
        <v>374</v>
      </c>
      <c r="E475" s="116">
        <v>2000</v>
      </c>
      <c r="F475" s="117">
        <v>4.4</v>
      </c>
      <c r="G475" s="117">
        <f t="shared" si="15"/>
        <v>17.6</v>
      </c>
      <c r="H475" s="117">
        <f t="shared" si="16"/>
        <v>1.2320000000000002</v>
      </c>
      <c r="I475" s="38">
        <f t="shared" si="17"/>
        <v>8781.168</v>
      </c>
      <c r="J475" s="11">
        <f>SUM(I474:I475,I459,I456)</f>
        <v>413.6116000000038</v>
      </c>
    </row>
    <row r="476" spans="3:10" ht="11.25">
      <c r="C476" s="114" t="s">
        <v>421</v>
      </c>
      <c r="D476" s="115" t="s">
        <v>374</v>
      </c>
      <c r="E476" s="116">
        <v>3000</v>
      </c>
      <c r="F476" s="117">
        <v>6.75</v>
      </c>
      <c r="G476" s="117">
        <f t="shared" si="15"/>
        <v>40.5</v>
      </c>
      <c r="H476" s="117">
        <f t="shared" si="16"/>
        <v>2.8350000000000004</v>
      </c>
      <c r="I476" s="38">
        <f t="shared" si="17"/>
        <v>20206.665</v>
      </c>
      <c r="J476" s="11">
        <f>SUM(I476,I457)</f>
        <v>1115.898000000001</v>
      </c>
    </row>
    <row r="477" spans="3:10" ht="11.25">
      <c r="C477" s="114" t="s">
        <v>403</v>
      </c>
      <c r="D477" s="115" t="s">
        <v>374</v>
      </c>
      <c r="E477" s="116">
        <v>2000</v>
      </c>
      <c r="F477" s="117">
        <v>11.4</v>
      </c>
      <c r="G477" s="117">
        <f t="shared" si="15"/>
        <v>45.6</v>
      </c>
      <c r="H477" s="117">
        <f t="shared" si="16"/>
        <v>3.1920000000000006</v>
      </c>
      <c r="I477" s="38">
        <f t="shared" si="17"/>
        <v>22751.208000000002</v>
      </c>
      <c r="J477" s="10"/>
    </row>
    <row r="478" spans="3:9" ht="11.25">
      <c r="C478" s="114" t="s">
        <v>340</v>
      </c>
      <c r="D478" s="115" t="s">
        <v>375</v>
      </c>
      <c r="E478" s="116">
        <v>500</v>
      </c>
      <c r="F478" s="117">
        <v>24.7</v>
      </c>
      <c r="G478" s="117">
        <f t="shared" si="15"/>
        <v>24.7</v>
      </c>
      <c r="H478" s="117">
        <f t="shared" si="16"/>
        <v>1.729</v>
      </c>
      <c r="I478" s="38">
        <f t="shared" si="17"/>
        <v>-12376.429</v>
      </c>
    </row>
    <row r="479" spans="3:9" ht="11.25">
      <c r="C479" s="114" t="s">
        <v>320</v>
      </c>
      <c r="D479" s="115" t="s">
        <v>375</v>
      </c>
      <c r="E479" s="116">
        <v>300</v>
      </c>
      <c r="F479" s="117">
        <v>40.75</v>
      </c>
      <c r="G479" s="117">
        <f t="shared" si="15"/>
        <v>24.45</v>
      </c>
      <c r="H479" s="117">
        <f t="shared" si="16"/>
        <v>1.7115</v>
      </c>
      <c r="I479" s="38">
        <f t="shared" si="17"/>
        <v>-12251.1615</v>
      </c>
    </row>
    <row r="480" spans="3:9" ht="11.25">
      <c r="C480" s="114" t="s">
        <v>320</v>
      </c>
      <c r="D480" s="115" t="s">
        <v>375</v>
      </c>
      <c r="E480" s="116">
        <v>100</v>
      </c>
      <c r="F480" s="117">
        <v>40.25</v>
      </c>
      <c r="G480" s="117">
        <f t="shared" si="15"/>
        <v>8.05</v>
      </c>
      <c r="H480" s="117">
        <f t="shared" si="16"/>
        <v>0.5635000000000001</v>
      </c>
      <c r="I480" s="38">
        <f t="shared" si="17"/>
        <v>-4033.6135000000004</v>
      </c>
    </row>
    <row r="481" spans="1:9" ht="12" thickBot="1">
      <c r="A481" s="6"/>
      <c r="B481" s="42"/>
      <c r="C481" s="6"/>
      <c r="D481" s="7"/>
      <c r="E481" s="43"/>
      <c r="F481" s="8"/>
      <c r="G481" s="8"/>
      <c r="H481" s="14" t="s">
        <v>34</v>
      </c>
      <c r="I481" s="14">
        <f>SUM(I474:I480)</f>
        <v>44032.897000000004</v>
      </c>
    </row>
    <row r="482" spans="1:9" ht="11.25">
      <c r="A482" s="3" t="s">
        <v>379</v>
      </c>
      <c r="B482" s="37">
        <v>37875</v>
      </c>
      <c r="C482" s="114" t="s">
        <v>417</v>
      </c>
      <c r="D482" s="115" t="s">
        <v>375</v>
      </c>
      <c r="E482" s="116">
        <v>500</v>
      </c>
      <c r="F482" s="117">
        <v>49.5</v>
      </c>
      <c r="G482" s="117">
        <f t="shared" si="15"/>
        <v>49.5</v>
      </c>
      <c r="H482" s="117">
        <f t="shared" si="16"/>
        <v>3.4650000000000003</v>
      </c>
      <c r="I482" s="38">
        <f t="shared" si="17"/>
        <v>-24802.965</v>
      </c>
    </row>
    <row r="483" spans="3:9" ht="11.25">
      <c r="C483" s="114" t="s">
        <v>404</v>
      </c>
      <c r="D483" s="115" t="s">
        <v>375</v>
      </c>
      <c r="E483" s="116">
        <v>300</v>
      </c>
      <c r="F483" s="117">
        <v>39.5</v>
      </c>
      <c r="G483" s="117">
        <f t="shared" si="15"/>
        <v>23.7</v>
      </c>
      <c r="H483" s="117">
        <f t="shared" si="16"/>
        <v>1.659</v>
      </c>
      <c r="I483" s="38">
        <f t="shared" si="17"/>
        <v>-11875.359</v>
      </c>
    </row>
    <row r="484" spans="3:9" ht="11.25">
      <c r="C484" s="3" t="s">
        <v>334</v>
      </c>
      <c r="D484" s="4" t="s">
        <v>375</v>
      </c>
      <c r="E484" s="40">
        <v>300</v>
      </c>
      <c r="F484" s="5">
        <v>28.75</v>
      </c>
      <c r="G484" s="5">
        <f t="shared" si="15"/>
        <v>17.25</v>
      </c>
      <c r="H484" s="5">
        <f t="shared" si="16"/>
        <v>1.2075</v>
      </c>
      <c r="I484" s="39">
        <f t="shared" si="17"/>
        <v>-8643.4575</v>
      </c>
    </row>
    <row r="485" spans="1:9" ht="12" thickBot="1">
      <c r="A485" s="6"/>
      <c r="B485" s="42"/>
      <c r="C485" s="6"/>
      <c r="D485" s="7"/>
      <c r="E485" s="43"/>
      <c r="F485" s="8"/>
      <c r="G485" s="8"/>
      <c r="H485" s="13" t="s">
        <v>14</v>
      </c>
      <c r="I485" s="13">
        <f>SUM(I482:I484)</f>
        <v>-45321.7815</v>
      </c>
    </row>
    <row r="486" spans="1:10" ht="11.25">
      <c r="A486" s="3" t="s">
        <v>381</v>
      </c>
      <c r="B486" s="37">
        <v>37876</v>
      </c>
      <c r="C486" s="114" t="s">
        <v>340</v>
      </c>
      <c r="D486" s="115" t="s">
        <v>374</v>
      </c>
      <c r="E486" s="116">
        <v>500</v>
      </c>
      <c r="F486" s="117">
        <v>27.25</v>
      </c>
      <c r="G486" s="117">
        <f t="shared" si="15"/>
        <v>27.25</v>
      </c>
      <c r="H486" s="117">
        <f t="shared" si="16"/>
        <v>1.9075000000000002</v>
      </c>
      <c r="I486" s="38">
        <f t="shared" si="17"/>
        <v>13595.8425</v>
      </c>
      <c r="J486" s="11">
        <f>SUM(I486,I478)</f>
        <v>1219.4135000000006</v>
      </c>
    </row>
    <row r="487" spans="3:9" ht="11.25">
      <c r="C487" s="114" t="s">
        <v>429</v>
      </c>
      <c r="D487" s="115" t="s">
        <v>375</v>
      </c>
      <c r="E487" s="116">
        <v>300</v>
      </c>
      <c r="F487" s="117">
        <v>36.5</v>
      </c>
      <c r="G487" s="117">
        <f t="shared" si="15"/>
        <v>21.900000000000002</v>
      </c>
      <c r="H487" s="117">
        <f t="shared" si="16"/>
        <v>1.5330000000000004</v>
      </c>
      <c r="I487" s="38">
        <f t="shared" si="17"/>
        <v>-10973.432999999999</v>
      </c>
    </row>
    <row r="488" spans="3:9" ht="11.25">
      <c r="C488" s="114" t="s">
        <v>320</v>
      </c>
      <c r="D488" s="115" t="s">
        <v>375</v>
      </c>
      <c r="E488" s="116">
        <v>100</v>
      </c>
      <c r="F488" s="117">
        <v>41.5</v>
      </c>
      <c r="G488" s="117">
        <f t="shared" si="15"/>
        <v>8.3</v>
      </c>
      <c r="H488" s="117">
        <f t="shared" si="16"/>
        <v>0.5810000000000001</v>
      </c>
      <c r="I488" s="38">
        <f t="shared" si="17"/>
        <v>-4158.881</v>
      </c>
    </row>
    <row r="489" spans="1:9" ht="12" thickBot="1">
      <c r="A489" s="6"/>
      <c r="B489" s="42"/>
      <c r="C489" s="6"/>
      <c r="D489" s="7"/>
      <c r="E489" s="43"/>
      <c r="F489" s="8"/>
      <c r="G489" s="8"/>
      <c r="H489" s="13" t="s">
        <v>14</v>
      </c>
      <c r="I489" s="13">
        <f>SUM(I486:I488)</f>
        <v>-1536.4714999999987</v>
      </c>
    </row>
    <row r="490" spans="1:9" ht="11.25">
      <c r="A490" s="28" t="s">
        <v>373</v>
      </c>
      <c r="B490" s="126">
        <v>37879</v>
      </c>
      <c r="C490" s="119" t="s">
        <v>254</v>
      </c>
      <c r="D490" s="120" t="s">
        <v>374</v>
      </c>
      <c r="E490" s="121">
        <v>400</v>
      </c>
      <c r="F490" s="122">
        <v>53</v>
      </c>
      <c r="G490" s="122">
        <f t="shared" si="15"/>
        <v>42.4</v>
      </c>
      <c r="H490" s="122">
        <f t="shared" si="16"/>
        <v>2.968</v>
      </c>
      <c r="I490" s="122">
        <f t="shared" si="17"/>
        <v>21154.631999999998</v>
      </c>
    </row>
    <row r="491" spans="1:9" ht="12" thickBot="1">
      <c r="A491" s="6"/>
      <c r="B491" s="42"/>
      <c r="C491" s="6"/>
      <c r="D491" s="7"/>
      <c r="E491" s="43"/>
      <c r="F491" s="8"/>
      <c r="G491" s="8"/>
      <c r="H491" s="14" t="s">
        <v>34</v>
      </c>
      <c r="I491" s="14">
        <f>I490</f>
        <v>21154.631999999998</v>
      </c>
    </row>
    <row r="492" spans="1:9" ht="11.25">
      <c r="A492" s="3" t="s">
        <v>402</v>
      </c>
      <c r="B492" s="37">
        <v>37880</v>
      </c>
      <c r="C492" s="114" t="s">
        <v>404</v>
      </c>
      <c r="D492" s="115" t="s">
        <v>374</v>
      </c>
      <c r="E492" s="116">
        <v>300</v>
      </c>
      <c r="F492" s="117">
        <v>40.25</v>
      </c>
      <c r="G492" s="122">
        <f t="shared" si="15"/>
        <v>24.150000000000002</v>
      </c>
      <c r="H492" s="122">
        <f t="shared" si="16"/>
        <v>1.6905000000000003</v>
      </c>
      <c r="I492" s="122">
        <f t="shared" si="17"/>
        <v>12049.1595</v>
      </c>
    </row>
    <row r="493" spans="3:9" ht="11.25">
      <c r="C493" s="114" t="s">
        <v>432</v>
      </c>
      <c r="D493" s="115" t="s">
        <v>375</v>
      </c>
      <c r="E493" s="116">
        <v>1000</v>
      </c>
      <c r="F493" s="117">
        <v>9.25</v>
      </c>
      <c r="G493" s="117">
        <f t="shared" si="15"/>
        <v>18.5</v>
      </c>
      <c r="H493" s="117">
        <f t="shared" si="16"/>
        <v>1.2950000000000002</v>
      </c>
      <c r="I493" s="38">
        <f t="shared" si="17"/>
        <v>-9269.795</v>
      </c>
    </row>
    <row r="494" spans="3:9" ht="11.25">
      <c r="C494" s="114" t="s">
        <v>432</v>
      </c>
      <c r="D494" s="115" t="s">
        <v>375</v>
      </c>
      <c r="E494" s="116">
        <v>1000</v>
      </c>
      <c r="F494" s="117">
        <v>9.1</v>
      </c>
      <c r="G494" s="117">
        <f t="shared" si="15"/>
        <v>18.2</v>
      </c>
      <c r="H494" s="117">
        <f t="shared" si="16"/>
        <v>1.274</v>
      </c>
      <c r="I494" s="38">
        <f t="shared" si="17"/>
        <v>-9119.474</v>
      </c>
    </row>
    <row r="495" spans="1:9" ht="12" thickBot="1">
      <c r="A495" s="6"/>
      <c r="B495" s="42"/>
      <c r="C495" s="6"/>
      <c r="D495" s="7"/>
      <c r="E495" s="43"/>
      <c r="F495" s="8"/>
      <c r="G495" s="8"/>
      <c r="H495" s="13" t="s">
        <v>14</v>
      </c>
      <c r="I495" s="13">
        <f>SUM(I492:I494)</f>
        <v>-6340.1095000000005</v>
      </c>
    </row>
    <row r="496" spans="1:9" ht="11.25">
      <c r="A496" s="3" t="s">
        <v>377</v>
      </c>
      <c r="B496" s="37">
        <v>37881</v>
      </c>
      <c r="C496" s="114" t="s">
        <v>429</v>
      </c>
      <c r="D496" s="115" t="s">
        <v>375</v>
      </c>
      <c r="E496" s="116">
        <v>1000</v>
      </c>
      <c r="F496" s="117">
        <v>33.25</v>
      </c>
      <c r="G496" s="117">
        <f t="shared" si="15"/>
        <v>66.5</v>
      </c>
      <c r="H496" s="117">
        <f t="shared" si="16"/>
        <v>4.655</v>
      </c>
      <c r="I496" s="38">
        <f t="shared" si="17"/>
        <v>-33321.155</v>
      </c>
    </row>
    <row r="497" spans="3:9" ht="11.25">
      <c r="C497" s="114" t="s">
        <v>417</v>
      </c>
      <c r="D497" s="115" t="s">
        <v>374</v>
      </c>
      <c r="E497" s="116">
        <v>500</v>
      </c>
      <c r="F497" s="117">
        <v>49.75</v>
      </c>
      <c r="G497" s="117">
        <f t="shared" si="15"/>
        <v>49.75</v>
      </c>
      <c r="H497" s="117">
        <f t="shared" si="16"/>
        <v>3.4825000000000004</v>
      </c>
      <c r="I497" s="38">
        <f t="shared" si="17"/>
        <v>24821.7675</v>
      </c>
    </row>
    <row r="498" spans="3:9" ht="11.25">
      <c r="C498" s="114" t="s">
        <v>404</v>
      </c>
      <c r="D498" s="115" t="s">
        <v>375</v>
      </c>
      <c r="E498" s="116">
        <v>500</v>
      </c>
      <c r="F498" s="117">
        <v>37.75</v>
      </c>
      <c r="G498" s="117">
        <f t="shared" si="15"/>
        <v>37.75</v>
      </c>
      <c r="H498" s="117">
        <f t="shared" si="16"/>
        <v>2.6425</v>
      </c>
      <c r="I498" s="38">
        <f t="shared" si="17"/>
        <v>-18915.3925</v>
      </c>
    </row>
    <row r="499" spans="1:9" ht="12" thickBot="1">
      <c r="A499" s="6"/>
      <c r="B499" s="42"/>
      <c r="C499" s="6"/>
      <c r="D499" s="7"/>
      <c r="E499" s="43"/>
      <c r="F499" s="8"/>
      <c r="G499" s="8"/>
      <c r="H499" s="13" t="s">
        <v>14</v>
      </c>
      <c r="I499" s="13">
        <f>SUM(I496:I498)</f>
        <v>-27414.78</v>
      </c>
    </row>
    <row r="500" spans="1:10" ht="11.25">
      <c r="A500" s="3" t="s">
        <v>379</v>
      </c>
      <c r="B500" s="37">
        <v>37882</v>
      </c>
      <c r="C500" s="114" t="s">
        <v>254</v>
      </c>
      <c r="D500" s="115" t="s">
        <v>374</v>
      </c>
      <c r="E500" s="116">
        <v>400</v>
      </c>
      <c r="F500" s="117">
        <v>49.75</v>
      </c>
      <c r="G500" s="117">
        <f t="shared" si="15"/>
        <v>39.800000000000004</v>
      </c>
      <c r="H500" s="117">
        <f t="shared" si="16"/>
        <v>2.7860000000000005</v>
      </c>
      <c r="I500" s="38">
        <f t="shared" si="17"/>
        <v>19857.414</v>
      </c>
      <c r="J500" s="11">
        <f>SUM(I500,I490,I471,I468,I450,)</f>
        <v>4058.1335000000017</v>
      </c>
    </row>
    <row r="501" spans="3:10" ht="11.25">
      <c r="C501" s="114" t="s">
        <v>403</v>
      </c>
      <c r="D501" s="115" t="s">
        <v>374</v>
      </c>
      <c r="E501" s="116">
        <v>1500</v>
      </c>
      <c r="F501" s="117">
        <v>11</v>
      </c>
      <c r="G501" s="117">
        <f t="shared" si="15"/>
        <v>33</v>
      </c>
      <c r="H501" s="117">
        <f t="shared" si="16"/>
        <v>2.31</v>
      </c>
      <c r="I501" s="117">
        <f t="shared" si="17"/>
        <v>16464.69</v>
      </c>
      <c r="J501" s="11">
        <f>SUM(I501,I477,I472,I418)</f>
        <v>1084.4709999999977</v>
      </c>
    </row>
    <row r="502" spans="1:9" ht="12" thickBot="1">
      <c r="A502" s="6"/>
      <c r="B502" s="42"/>
      <c r="C502" s="6"/>
      <c r="D502" s="7"/>
      <c r="E502" s="43"/>
      <c r="F502" s="8"/>
      <c r="G502" s="8"/>
      <c r="H502" s="13" t="s">
        <v>34</v>
      </c>
      <c r="I502" s="13">
        <f>SUM(I500:I501)</f>
        <v>36322.104</v>
      </c>
    </row>
    <row r="503" spans="1:10" ht="11.25">
      <c r="A503" s="3" t="s">
        <v>373</v>
      </c>
      <c r="B503" s="37">
        <v>37886</v>
      </c>
      <c r="C503" s="114" t="s">
        <v>320</v>
      </c>
      <c r="D503" s="115" t="s">
        <v>374</v>
      </c>
      <c r="E503" s="116">
        <v>1000</v>
      </c>
      <c r="F503" s="117">
        <v>44</v>
      </c>
      <c r="G503" s="117">
        <f t="shared" si="15"/>
        <v>88</v>
      </c>
      <c r="H503" s="117">
        <f t="shared" si="16"/>
        <v>6.16</v>
      </c>
      <c r="I503" s="38">
        <f t="shared" si="17"/>
        <v>43905.84</v>
      </c>
      <c r="J503" s="11">
        <f>SUM(I503,I488,I479:I480,I470)</f>
        <v>3043.581499999993</v>
      </c>
    </row>
    <row r="504" spans="3:9" ht="11.25">
      <c r="C504" s="114" t="s">
        <v>429</v>
      </c>
      <c r="D504" s="115" t="s">
        <v>375</v>
      </c>
      <c r="E504" s="116">
        <v>200</v>
      </c>
      <c r="F504" s="117">
        <v>32.25</v>
      </c>
      <c r="G504" s="117">
        <f t="shared" si="15"/>
        <v>12.9</v>
      </c>
      <c r="H504" s="117">
        <f t="shared" si="16"/>
        <v>0.9030000000000001</v>
      </c>
      <c r="I504" s="38">
        <f t="shared" si="17"/>
        <v>-6463.803</v>
      </c>
    </row>
    <row r="505" spans="3:9" ht="11.25">
      <c r="C505" s="114" t="s">
        <v>437</v>
      </c>
      <c r="D505" s="115" t="s">
        <v>375</v>
      </c>
      <c r="E505" s="116">
        <v>5000</v>
      </c>
      <c r="F505" s="117">
        <v>4.2</v>
      </c>
      <c r="G505" s="117">
        <f t="shared" si="15"/>
        <v>42</v>
      </c>
      <c r="H505" s="117">
        <f t="shared" si="16"/>
        <v>2.9400000000000004</v>
      </c>
      <c r="I505" s="38">
        <f t="shared" si="17"/>
        <v>-21044.94</v>
      </c>
    </row>
    <row r="506" spans="1:10" ht="12" thickBot="1">
      <c r="A506" s="6"/>
      <c r="B506" s="42"/>
      <c r="C506" s="6"/>
      <c r="D506" s="7"/>
      <c r="E506" s="43"/>
      <c r="F506" s="8"/>
      <c r="G506" s="8"/>
      <c r="H506" s="14" t="s">
        <v>34</v>
      </c>
      <c r="I506" s="14">
        <f>SUM(I503:I505)</f>
        <v>16397.096999999998</v>
      </c>
      <c r="J506" s="10"/>
    </row>
    <row r="507" spans="1:9" ht="11.25">
      <c r="A507" s="3" t="s">
        <v>402</v>
      </c>
      <c r="B507" s="37">
        <v>37887</v>
      </c>
      <c r="C507" s="114" t="s">
        <v>439</v>
      </c>
      <c r="D507" s="115" t="s">
        <v>375</v>
      </c>
      <c r="E507" s="116">
        <v>1000</v>
      </c>
      <c r="F507" s="117">
        <v>13.5</v>
      </c>
      <c r="G507" s="117">
        <f t="shared" si="15"/>
        <v>27</v>
      </c>
      <c r="H507" s="117">
        <f t="shared" si="16"/>
        <v>1.8900000000000001</v>
      </c>
      <c r="I507" s="38">
        <f t="shared" si="17"/>
        <v>-13528.89</v>
      </c>
    </row>
    <row r="508" spans="3:10" ht="11.25">
      <c r="C508" s="114" t="s">
        <v>439</v>
      </c>
      <c r="D508" s="115" t="s">
        <v>374</v>
      </c>
      <c r="E508" s="116">
        <v>1000</v>
      </c>
      <c r="F508" s="117">
        <v>14.3</v>
      </c>
      <c r="G508" s="117">
        <f t="shared" si="15"/>
        <v>28.6</v>
      </c>
      <c r="H508" s="117">
        <f t="shared" si="16"/>
        <v>2.0020000000000002</v>
      </c>
      <c r="I508" s="38">
        <f t="shared" si="17"/>
        <v>14269.398</v>
      </c>
      <c r="J508" s="11">
        <f>SUM(I507:I508)</f>
        <v>740.5079999999998</v>
      </c>
    </row>
    <row r="509" spans="3:10" ht="11.25">
      <c r="C509" s="114" t="s">
        <v>367</v>
      </c>
      <c r="D509" s="115" t="s">
        <v>374</v>
      </c>
      <c r="E509" s="116">
        <v>500</v>
      </c>
      <c r="F509" s="117">
        <v>8.55</v>
      </c>
      <c r="G509" s="117">
        <f t="shared" si="15"/>
        <v>8.55</v>
      </c>
      <c r="H509" s="117">
        <f t="shared" si="16"/>
        <v>0.5985000000000001</v>
      </c>
      <c r="I509" s="38">
        <f t="shared" si="17"/>
        <v>4265.8515</v>
      </c>
      <c r="J509" s="18">
        <f>SUM(I509,I424:I427,I419)</f>
        <v>-1597.8430000000008</v>
      </c>
    </row>
    <row r="510" spans="3:9" ht="11.25">
      <c r="C510" s="114" t="s">
        <v>437</v>
      </c>
      <c r="D510" s="115" t="s">
        <v>375</v>
      </c>
      <c r="E510" s="116">
        <v>3600</v>
      </c>
      <c r="F510" s="117">
        <v>4.3</v>
      </c>
      <c r="G510" s="117">
        <f t="shared" si="15"/>
        <v>30.96</v>
      </c>
      <c r="H510" s="117">
        <f t="shared" si="16"/>
        <v>2.1672000000000002</v>
      </c>
      <c r="I510" s="38">
        <f t="shared" si="17"/>
        <v>-15513.127199999999</v>
      </c>
    </row>
    <row r="511" spans="1:9" ht="12" thickBot="1">
      <c r="A511" s="6"/>
      <c r="B511" s="42"/>
      <c r="C511" s="6"/>
      <c r="D511" s="7"/>
      <c r="E511" s="43"/>
      <c r="F511" s="8"/>
      <c r="G511" s="8"/>
      <c r="H511" s="13" t="s">
        <v>14</v>
      </c>
      <c r="I511" s="13">
        <f>SUM(I507:I510)</f>
        <v>-10506.7677</v>
      </c>
    </row>
    <row r="512" spans="1:9" ht="11.25">
      <c r="A512" s="3" t="s">
        <v>381</v>
      </c>
      <c r="B512" s="37">
        <v>37890</v>
      </c>
      <c r="C512" s="114" t="s">
        <v>429</v>
      </c>
      <c r="D512" s="115" t="s">
        <v>374</v>
      </c>
      <c r="E512" s="116">
        <v>300</v>
      </c>
      <c r="F512" s="117">
        <v>36.75</v>
      </c>
      <c r="G512" s="117">
        <f t="shared" si="15"/>
        <v>22.05</v>
      </c>
      <c r="H512" s="117">
        <f t="shared" si="16"/>
        <v>1.5435</v>
      </c>
      <c r="I512" s="38">
        <f t="shared" si="17"/>
        <v>11001.406500000001</v>
      </c>
    </row>
    <row r="513" spans="3:10" ht="11.25">
      <c r="C513" s="114" t="s">
        <v>432</v>
      </c>
      <c r="D513" s="115" t="s">
        <v>374</v>
      </c>
      <c r="E513" s="116">
        <v>2000</v>
      </c>
      <c r="F513" s="117">
        <v>10.1</v>
      </c>
      <c r="G513" s="117">
        <f t="shared" si="15"/>
        <v>40.4</v>
      </c>
      <c r="H513" s="117">
        <f t="shared" si="16"/>
        <v>2.8280000000000003</v>
      </c>
      <c r="I513" s="38">
        <f t="shared" si="17"/>
        <v>20156.771999999997</v>
      </c>
      <c r="J513" s="11">
        <f>SUM(I513,I493:I494)</f>
        <v>1767.502999999997</v>
      </c>
    </row>
    <row r="514" spans="3:9" ht="11.25">
      <c r="C514" s="114" t="s">
        <v>254</v>
      </c>
      <c r="D514" s="115" t="s">
        <v>375</v>
      </c>
      <c r="E514" s="116">
        <v>500</v>
      </c>
      <c r="F514" s="117">
        <v>48.5</v>
      </c>
      <c r="G514" s="117">
        <f t="shared" si="15"/>
        <v>48.5</v>
      </c>
      <c r="H514" s="117">
        <f t="shared" si="16"/>
        <v>3.3950000000000005</v>
      </c>
      <c r="I514" s="38">
        <f t="shared" si="17"/>
        <v>-24301.895</v>
      </c>
    </row>
    <row r="515" spans="1:9" ht="12" thickBot="1">
      <c r="A515" s="6"/>
      <c r="B515" s="42"/>
      <c r="C515" s="6"/>
      <c r="D515" s="7"/>
      <c r="E515" s="43"/>
      <c r="F515" s="8"/>
      <c r="G515" s="8"/>
      <c r="H515" s="14" t="s">
        <v>34</v>
      </c>
      <c r="I515" s="14">
        <f>SUM(I512:I514)</f>
        <v>6856.283499999998</v>
      </c>
    </row>
    <row r="516" spans="1:10" ht="11.25">
      <c r="A516" s="3" t="s">
        <v>373</v>
      </c>
      <c r="B516" s="37">
        <v>37893</v>
      </c>
      <c r="C516" s="114" t="s">
        <v>437</v>
      </c>
      <c r="D516" s="115" t="s">
        <v>374</v>
      </c>
      <c r="E516" s="116">
        <v>8600</v>
      </c>
      <c r="F516" s="117">
        <v>5</v>
      </c>
      <c r="G516" s="117">
        <f t="shared" si="15"/>
        <v>86</v>
      </c>
      <c r="H516" s="117">
        <f t="shared" si="16"/>
        <v>6.0200000000000005</v>
      </c>
      <c r="I516" s="38">
        <f t="shared" si="17"/>
        <v>42907.98</v>
      </c>
      <c r="J516" s="11">
        <f>SUM(I516,I510,I505)</f>
        <v>6349.9128000000055</v>
      </c>
    </row>
    <row r="517" spans="1:9" ht="12" thickBot="1">
      <c r="A517" s="6"/>
      <c r="B517" s="42"/>
      <c r="C517" s="6"/>
      <c r="D517" s="7"/>
      <c r="E517" s="43"/>
      <c r="F517" s="8"/>
      <c r="G517" s="8"/>
      <c r="H517" s="14" t="s">
        <v>34</v>
      </c>
      <c r="I517" s="14">
        <f>I516</f>
        <v>42907.98</v>
      </c>
    </row>
    <row r="518" spans="1:9" ht="11.25">
      <c r="A518" s="3" t="s">
        <v>377</v>
      </c>
      <c r="B518" s="37">
        <v>37895</v>
      </c>
      <c r="C518" s="114" t="s">
        <v>254</v>
      </c>
      <c r="D518" s="115" t="s">
        <v>375</v>
      </c>
      <c r="E518" s="116">
        <v>500</v>
      </c>
      <c r="F518" s="117">
        <v>48.5</v>
      </c>
      <c r="G518" s="117">
        <f t="shared" si="15"/>
        <v>48.5</v>
      </c>
      <c r="H518" s="117">
        <f t="shared" si="16"/>
        <v>3.3950000000000005</v>
      </c>
      <c r="I518" s="38">
        <f t="shared" si="17"/>
        <v>-24301.895</v>
      </c>
    </row>
    <row r="519" spans="3:9" ht="11.25">
      <c r="C519" s="114" t="s">
        <v>404</v>
      </c>
      <c r="D519" s="115" t="s">
        <v>374</v>
      </c>
      <c r="E519" s="116">
        <v>500</v>
      </c>
      <c r="F519" s="117">
        <v>38.25</v>
      </c>
      <c r="G519" s="117">
        <f t="shared" si="15"/>
        <v>38.25</v>
      </c>
      <c r="H519" s="117">
        <f t="shared" si="16"/>
        <v>2.6775</v>
      </c>
      <c r="I519" s="38">
        <f t="shared" si="17"/>
        <v>19084.0725</v>
      </c>
    </row>
    <row r="520" spans="1:9" ht="12" thickBot="1">
      <c r="A520" s="6"/>
      <c r="B520" s="42"/>
      <c r="C520" s="6"/>
      <c r="D520" s="7"/>
      <c r="E520" s="43"/>
      <c r="F520" s="8"/>
      <c r="G520" s="8"/>
      <c r="H520" s="13" t="s">
        <v>14</v>
      </c>
      <c r="I520" s="13">
        <f>SUM(I518:I519)</f>
        <v>-5217.822500000002</v>
      </c>
    </row>
    <row r="521" spans="1:9" ht="11.25">
      <c r="A521" s="3" t="s">
        <v>379</v>
      </c>
      <c r="B521" s="37">
        <v>37896</v>
      </c>
      <c r="C521" s="114" t="s">
        <v>429</v>
      </c>
      <c r="D521" s="115" t="s">
        <v>374</v>
      </c>
      <c r="E521" s="116">
        <v>500</v>
      </c>
      <c r="F521" s="117">
        <v>35.75</v>
      </c>
      <c r="G521" s="117">
        <f t="shared" si="15"/>
        <v>35.75</v>
      </c>
      <c r="H521" s="117">
        <f t="shared" si="16"/>
        <v>2.5025000000000004</v>
      </c>
      <c r="I521" s="38">
        <f t="shared" si="17"/>
        <v>17836.7475</v>
      </c>
    </row>
    <row r="522" spans="1:9" ht="12" thickBot="1">
      <c r="A522" s="6"/>
      <c r="B522" s="42"/>
      <c r="C522" s="6"/>
      <c r="D522" s="7"/>
      <c r="E522" s="43"/>
      <c r="F522" s="8"/>
      <c r="G522" s="8"/>
      <c r="H522" s="14" t="s">
        <v>34</v>
      </c>
      <c r="I522" s="14">
        <f>I521</f>
        <v>17836.7475</v>
      </c>
    </row>
    <row r="523" spans="1:9" ht="11.25">
      <c r="A523" s="3" t="s">
        <v>381</v>
      </c>
      <c r="B523" s="37">
        <v>37897</v>
      </c>
      <c r="C523" s="114" t="s">
        <v>448</v>
      </c>
      <c r="D523" s="115" t="s">
        <v>375</v>
      </c>
      <c r="E523" s="116">
        <v>1000</v>
      </c>
      <c r="F523" s="117">
        <v>7</v>
      </c>
      <c r="G523" s="117">
        <f t="shared" si="15"/>
        <v>14</v>
      </c>
      <c r="H523" s="117">
        <f t="shared" si="16"/>
        <v>0.9800000000000001</v>
      </c>
      <c r="I523" s="38">
        <f t="shared" si="17"/>
        <v>-7014.98</v>
      </c>
    </row>
    <row r="524" spans="3:9" ht="11.25">
      <c r="C524" s="114" t="s">
        <v>448</v>
      </c>
      <c r="D524" s="115" t="s">
        <v>375</v>
      </c>
      <c r="E524" s="116">
        <v>5000</v>
      </c>
      <c r="F524" s="117">
        <v>6.85</v>
      </c>
      <c r="G524" s="117">
        <f t="shared" si="15"/>
        <v>68.5</v>
      </c>
      <c r="H524" s="117">
        <f t="shared" si="16"/>
        <v>4.795000000000001</v>
      </c>
      <c r="I524" s="38">
        <f t="shared" si="17"/>
        <v>-34323.295</v>
      </c>
    </row>
    <row r="525" spans="1:9" ht="12" thickBot="1">
      <c r="A525" s="6"/>
      <c r="B525" s="42"/>
      <c r="C525" s="6"/>
      <c r="D525" s="7"/>
      <c r="E525" s="43"/>
      <c r="F525" s="8"/>
      <c r="G525" s="8"/>
      <c r="H525" s="13" t="s">
        <v>14</v>
      </c>
      <c r="I525" s="13">
        <f>SUM(I523:I524)</f>
        <v>-41338.274999999994</v>
      </c>
    </row>
    <row r="526" spans="1:10" ht="11.25">
      <c r="A526" s="3" t="s">
        <v>402</v>
      </c>
      <c r="B526" s="37">
        <v>37901</v>
      </c>
      <c r="C526" s="114" t="s">
        <v>254</v>
      </c>
      <c r="D526" s="115" t="s">
        <v>374</v>
      </c>
      <c r="E526" s="116">
        <v>5000</v>
      </c>
      <c r="F526" s="117">
        <v>10.6</v>
      </c>
      <c r="G526" s="117">
        <f t="shared" si="15"/>
        <v>106</v>
      </c>
      <c r="H526" s="117">
        <f t="shared" si="16"/>
        <v>7.420000000000001</v>
      </c>
      <c r="I526" s="38">
        <f t="shared" si="17"/>
        <v>52886.58</v>
      </c>
      <c r="J526" s="11">
        <f>SUM(I526,I518,I514,)</f>
        <v>4282.790000000001</v>
      </c>
    </row>
    <row r="527" spans="1:9" ht="12" thickBot="1">
      <c r="A527" s="6"/>
      <c r="B527" s="42"/>
      <c r="C527" s="6"/>
      <c r="D527" s="7"/>
      <c r="E527" s="43"/>
      <c r="F527" s="8"/>
      <c r="G527" s="8"/>
      <c r="H527" s="14" t="s">
        <v>34</v>
      </c>
      <c r="I527" s="14">
        <f>I526</f>
        <v>52886.58</v>
      </c>
    </row>
    <row r="528" spans="1:10" ht="11.25">
      <c r="A528" s="3" t="s">
        <v>377</v>
      </c>
      <c r="B528" s="37">
        <v>37902</v>
      </c>
      <c r="C528" s="114" t="s">
        <v>429</v>
      </c>
      <c r="D528" s="115" t="s">
        <v>374</v>
      </c>
      <c r="E528" s="116">
        <v>700</v>
      </c>
      <c r="F528" s="117">
        <v>34</v>
      </c>
      <c r="G528" s="117">
        <f t="shared" si="15"/>
        <v>47.6</v>
      </c>
      <c r="H528" s="117">
        <f t="shared" si="16"/>
        <v>3.3320000000000003</v>
      </c>
      <c r="I528" s="38">
        <f t="shared" si="17"/>
        <v>23749.068000000003</v>
      </c>
      <c r="J528" s="11">
        <f>SUM(I528,I521,I512,I504,I496,I487,)</f>
        <v>1828.831000000011</v>
      </c>
    </row>
    <row r="529" spans="3:9" ht="11.25">
      <c r="C529" s="114" t="s">
        <v>429</v>
      </c>
      <c r="D529" s="115" t="s">
        <v>375</v>
      </c>
      <c r="E529" s="116">
        <v>1000</v>
      </c>
      <c r="F529" s="117">
        <v>33</v>
      </c>
      <c r="G529" s="117">
        <f t="shared" si="15"/>
        <v>66</v>
      </c>
      <c r="H529" s="117">
        <f t="shared" si="16"/>
        <v>4.62</v>
      </c>
      <c r="I529" s="38">
        <f t="shared" si="17"/>
        <v>-33070.62</v>
      </c>
    </row>
    <row r="530" spans="3:10" ht="11.25">
      <c r="C530" s="114" t="s">
        <v>417</v>
      </c>
      <c r="D530" s="115" t="s">
        <v>374</v>
      </c>
      <c r="E530" s="116">
        <v>300</v>
      </c>
      <c r="F530" s="117">
        <v>48.75</v>
      </c>
      <c r="G530" s="117">
        <f t="shared" si="15"/>
        <v>29.25</v>
      </c>
      <c r="H530" s="117">
        <f t="shared" si="16"/>
        <v>2.0475000000000003</v>
      </c>
      <c r="I530" s="38">
        <f t="shared" si="17"/>
        <v>14593.7025</v>
      </c>
      <c r="J530" s="11">
        <f>SUM(I530,I497,I482,I467,I453,I451,)</f>
        <v>4373.374000000003</v>
      </c>
    </row>
    <row r="531" spans="1:9" ht="12" thickBot="1">
      <c r="A531" s="6"/>
      <c r="B531" s="42"/>
      <c r="C531" s="6"/>
      <c r="D531" s="7"/>
      <c r="E531" s="43"/>
      <c r="F531" s="8"/>
      <c r="G531" s="8"/>
      <c r="H531" s="14" t="s">
        <v>34</v>
      </c>
      <c r="I531" s="14">
        <f>SUM(I528:I530)</f>
        <v>5272.1505</v>
      </c>
    </row>
    <row r="532" spans="1:9" ht="11.25">
      <c r="A532" s="3" t="s">
        <v>381</v>
      </c>
      <c r="B532" s="37">
        <v>37904</v>
      </c>
      <c r="C532" s="114" t="s">
        <v>429</v>
      </c>
      <c r="D532" s="115" t="s">
        <v>374</v>
      </c>
      <c r="E532" s="116">
        <v>500</v>
      </c>
      <c r="F532" s="117">
        <v>35</v>
      </c>
      <c r="G532" s="117">
        <f t="shared" si="15"/>
        <v>35</v>
      </c>
      <c r="H532" s="117">
        <f t="shared" si="16"/>
        <v>2.45</v>
      </c>
      <c r="I532" s="38">
        <f t="shared" si="17"/>
        <v>17462.55</v>
      </c>
    </row>
    <row r="533" spans="3:9" ht="11.25">
      <c r="C533" s="114" t="s">
        <v>454</v>
      </c>
      <c r="D533" s="115" t="s">
        <v>375</v>
      </c>
      <c r="E533" s="116">
        <v>600</v>
      </c>
      <c r="F533" s="117">
        <v>57</v>
      </c>
      <c r="G533" s="117">
        <f t="shared" si="15"/>
        <v>68.4</v>
      </c>
      <c r="H533" s="117">
        <f t="shared" si="16"/>
        <v>4.788000000000001</v>
      </c>
      <c r="I533" s="38">
        <f t="shared" si="17"/>
        <v>-34273.188</v>
      </c>
    </row>
    <row r="534" spans="3:9" ht="11.25">
      <c r="C534" s="114" t="s">
        <v>254</v>
      </c>
      <c r="D534" s="115" t="s">
        <v>375</v>
      </c>
      <c r="E534" s="116">
        <v>3000</v>
      </c>
      <c r="F534" s="117">
        <v>10.3</v>
      </c>
      <c r="G534" s="117">
        <f t="shared" si="15"/>
        <v>61.80000000000001</v>
      </c>
      <c r="H534" s="117">
        <f t="shared" si="16"/>
        <v>4.326000000000001</v>
      </c>
      <c r="I534" s="38">
        <f t="shared" si="17"/>
        <v>-30966.126000000004</v>
      </c>
    </row>
    <row r="535" spans="3:10" ht="11.25">
      <c r="C535" s="114" t="s">
        <v>254</v>
      </c>
      <c r="D535" s="115" t="s">
        <v>374</v>
      </c>
      <c r="E535" s="116">
        <v>3000</v>
      </c>
      <c r="F535" s="117">
        <v>11.2</v>
      </c>
      <c r="G535" s="117">
        <f t="shared" si="15"/>
        <v>67.2</v>
      </c>
      <c r="H535" s="117">
        <f t="shared" si="16"/>
        <v>4.704000000000001</v>
      </c>
      <c r="I535" s="38">
        <f t="shared" si="17"/>
        <v>33528.096000000005</v>
      </c>
      <c r="J535" s="11">
        <f>SUM(I534:I535)</f>
        <v>2561.970000000001</v>
      </c>
    </row>
    <row r="536" spans="1:9" ht="12" thickBot="1">
      <c r="A536" s="6"/>
      <c r="B536" s="42"/>
      <c r="C536" s="6"/>
      <c r="D536" s="7"/>
      <c r="E536" s="43"/>
      <c r="F536" s="8"/>
      <c r="G536" s="8"/>
      <c r="H536" s="13" t="s">
        <v>14</v>
      </c>
      <c r="I536" s="13">
        <f>SUM(I532:I535)</f>
        <v>-14248.668000000005</v>
      </c>
    </row>
    <row r="537" spans="1:10" ht="11.25">
      <c r="A537" s="3" t="s">
        <v>373</v>
      </c>
      <c r="B537" s="37">
        <v>37907</v>
      </c>
      <c r="C537" s="114" t="s">
        <v>448</v>
      </c>
      <c r="D537" s="115" t="s">
        <v>374</v>
      </c>
      <c r="E537" s="116">
        <v>6000</v>
      </c>
      <c r="F537" s="117">
        <v>7.05</v>
      </c>
      <c r="G537" s="117">
        <f t="shared" si="15"/>
        <v>84.60000000000001</v>
      </c>
      <c r="H537" s="117">
        <f t="shared" si="16"/>
        <v>5.9220000000000015</v>
      </c>
      <c r="I537" s="38">
        <f t="shared" si="17"/>
        <v>42209.478</v>
      </c>
      <c r="J537" s="11">
        <f>SUM(I537,I523:I524,)</f>
        <v>871.2030000000086</v>
      </c>
    </row>
    <row r="538" spans="3:10" ht="11.25">
      <c r="C538" s="114" t="s">
        <v>429</v>
      </c>
      <c r="D538" s="115" t="s">
        <v>374</v>
      </c>
      <c r="E538" s="116">
        <v>500</v>
      </c>
      <c r="F538" s="117">
        <v>35.75</v>
      </c>
      <c r="G538" s="117">
        <f>($E538*$F538)*0.002</f>
        <v>35.75</v>
      </c>
      <c r="H538" s="117">
        <f>$G538*0.07</f>
        <v>2.5025000000000004</v>
      </c>
      <c r="I538" s="38">
        <f>IF($D538="B",(($E538*$F538)+$G538+$H538)*(-1),IF($D538="S",($E538*$F538)-$G538-$H538))</f>
        <v>17836.7475</v>
      </c>
      <c r="J538" s="11">
        <f>SUM(I538,I532,I529)</f>
        <v>2228.677499999998</v>
      </c>
    </row>
    <row r="539" spans="3:10" ht="11.25">
      <c r="C539" s="114" t="s">
        <v>454</v>
      </c>
      <c r="D539" s="115" t="s">
        <v>374</v>
      </c>
      <c r="E539" s="116">
        <v>600</v>
      </c>
      <c r="F539" s="117">
        <v>59</v>
      </c>
      <c r="G539" s="117">
        <f>($E539*$F539)*0.002</f>
        <v>70.8</v>
      </c>
      <c r="H539" s="117">
        <f>$G539*0.07</f>
        <v>4.956</v>
      </c>
      <c r="I539" s="38">
        <f>IF($D539="B",(($E539*$F539)+$G539+$H539)*(-1),IF($D539="S",($E539*$F539)-$G539-$H539))</f>
        <v>35324.244</v>
      </c>
      <c r="J539" s="11">
        <f>SUM(I539,I533)</f>
        <v>1051.0559999999969</v>
      </c>
    </row>
    <row r="540" spans="3:10" ht="11.25">
      <c r="C540" s="114" t="s">
        <v>404</v>
      </c>
      <c r="D540" s="115" t="s">
        <v>374</v>
      </c>
      <c r="E540" s="116">
        <v>1000</v>
      </c>
      <c r="F540" s="117">
        <v>38.75</v>
      </c>
      <c r="G540" s="117">
        <f>($E540*$F540)*0.002</f>
        <v>77.5</v>
      </c>
      <c r="H540" s="117">
        <f>$G540*0.07</f>
        <v>5.425000000000001</v>
      </c>
      <c r="I540" s="117">
        <f>IF($D540="B",(($E540*$F540)+$G540+$H540)*(-1),IF($D540="S",($E540*$F540)-$G540-$H540))</f>
        <v>38667.075</v>
      </c>
      <c r="J540" s="11">
        <f>SUM(I540,I519,I498,I492,I483,I454,I444)</f>
        <v>2681.980499999987</v>
      </c>
    </row>
    <row r="541" spans="1:9" ht="12" thickBot="1">
      <c r="A541" s="6"/>
      <c r="B541" s="42"/>
      <c r="C541" s="6"/>
      <c r="D541" s="7"/>
      <c r="E541" s="43"/>
      <c r="F541" s="8"/>
      <c r="G541" s="8"/>
      <c r="H541" s="14" t="s">
        <v>34</v>
      </c>
      <c r="I541" s="14">
        <f>SUM(I537:I540)</f>
        <v>134037.54450000002</v>
      </c>
    </row>
    <row r="542" spans="1:9" ht="11.25">
      <c r="A542" s="3" t="s">
        <v>402</v>
      </c>
      <c r="B542" s="37">
        <v>37908</v>
      </c>
      <c r="C542" s="114" t="s">
        <v>454</v>
      </c>
      <c r="D542" s="115" t="s">
        <v>375</v>
      </c>
      <c r="E542" s="116">
        <v>400</v>
      </c>
      <c r="F542" s="117">
        <v>57</v>
      </c>
      <c r="G542" s="117">
        <f>($E542*$F542)*0.002</f>
        <v>45.6</v>
      </c>
      <c r="H542" s="117">
        <f>$G542*0.07</f>
        <v>3.1920000000000006</v>
      </c>
      <c r="I542" s="117">
        <f>IF($D542="B",(($E542*$F542)+$G542+$H542)*(-1),IF($D542="S",($E542*$F542)-$G542-$H542))</f>
        <v>-22848.791999999998</v>
      </c>
    </row>
    <row r="543" spans="3:9" ht="11.25">
      <c r="C543" s="114" t="s">
        <v>454</v>
      </c>
      <c r="D543" s="115" t="s">
        <v>375</v>
      </c>
      <c r="E543" s="116">
        <v>400</v>
      </c>
      <c r="F543" s="117">
        <v>58</v>
      </c>
      <c r="G543" s="117">
        <f>($E543*$F543)*0.002</f>
        <v>46.4</v>
      </c>
      <c r="H543" s="117">
        <f>$G543*0.07</f>
        <v>3.248</v>
      </c>
      <c r="I543" s="117">
        <f>IF($D543="B",(($E543*$F543)+$G543+$H543)*(-1),IF($D543="S",($E543*$F543)-$G543-$H543))</f>
        <v>-23249.648</v>
      </c>
    </row>
    <row r="544" spans="1:9" ht="12" thickBot="1">
      <c r="A544" s="6"/>
      <c r="B544" s="42"/>
      <c r="C544" s="6"/>
      <c r="D544" s="7"/>
      <c r="E544" s="43"/>
      <c r="F544" s="8"/>
      <c r="G544" s="8"/>
      <c r="H544" s="13" t="s">
        <v>14</v>
      </c>
      <c r="I544" s="13">
        <f>SUM(I542:I543)</f>
        <v>-46098.44</v>
      </c>
    </row>
    <row r="545" spans="1:9" ht="11.25">
      <c r="A545" s="3" t="s">
        <v>377</v>
      </c>
      <c r="B545" s="37">
        <v>37909</v>
      </c>
      <c r="C545" s="114" t="s">
        <v>454</v>
      </c>
      <c r="D545" s="115" t="s">
        <v>375</v>
      </c>
      <c r="E545" s="116">
        <v>500</v>
      </c>
      <c r="F545" s="117">
        <v>59</v>
      </c>
      <c r="G545" s="117">
        <f>($E545*$F545)*0.002</f>
        <v>59</v>
      </c>
      <c r="H545" s="117">
        <f>$G545*0.07</f>
        <v>4.130000000000001</v>
      </c>
      <c r="I545" s="117">
        <f>IF($D545="B",(($E545*$F545)+$G545+$H545)*(-1),IF($D545="S",($E545*$F545)-$G545-$H545))</f>
        <v>-29563.13</v>
      </c>
    </row>
    <row r="546" spans="3:9" ht="11.25">
      <c r="C546" s="114" t="s">
        <v>437</v>
      </c>
      <c r="D546" s="115" t="s">
        <v>375</v>
      </c>
      <c r="E546" s="116">
        <v>5000</v>
      </c>
      <c r="F546" s="117">
        <v>4.56</v>
      </c>
      <c r="G546" s="117">
        <f>($E546*$F546)*0.002</f>
        <v>45.599999999999994</v>
      </c>
      <c r="H546" s="117">
        <f>$G546*0.07</f>
        <v>3.1919999999999997</v>
      </c>
      <c r="I546" s="117">
        <f>IF($D546="B",(($E546*$F546)+$G546+$H546)*(-1),IF($D546="S",($E546*$F546)-$G546-$H546))</f>
        <v>-22848.791999999994</v>
      </c>
    </row>
    <row r="547" spans="1:9" ht="12" thickBot="1">
      <c r="A547" s="6"/>
      <c r="B547" s="42"/>
      <c r="C547" s="6"/>
      <c r="D547" s="7"/>
      <c r="E547" s="43"/>
      <c r="F547" s="8"/>
      <c r="G547" s="8"/>
      <c r="H547" s="13" t="s">
        <v>14</v>
      </c>
      <c r="I547" s="13">
        <f>SUM(I545:I546)</f>
        <v>-52411.92199999999</v>
      </c>
    </row>
    <row r="548" spans="1:10" ht="11.25">
      <c r="A548" s="3" t="s">
        <v>379</v>
      </c>
      <c r="B548" s="37">
        <v>37910</v>
      </c>
      <c r="C548" s="114" t="s">
        <v>454</v>
      </c>
      <c r="D548" s="115" t="s">
        <v>374</v>
      </c>
      <c r="E548" s="116">
        <v>800</v>
      </c>
      <c r="F548" s="117">
        <v>61</v>
      </c>
      <c r="G548" s="117">
        <f>($E548*$F548)*0.0021</f>
        <v>102.47999999999999</v>
      </c>
      <c r="H548" s="117">
        <f>$G548*0.07</f>
        <v>7.1735999999999995</v>
      </c>
      <c r="I548" s="117">
        <f>IF($D548="B",(($E548*$F548)+$G548+$H548)*(-1),IF($D548="S",($E548*$F548)-$G548-$H548))</f>
        <v>48690.346399999995</v>
      </c>
      <c r="J548" s="10"/>
    </row>
    <row r="549" spans="3:10" ht="11.25">
      <c r="C549" s="114" t="s">
        <v>437</v>
      </c>
      <c r="D549" s="115" t="s">
        <v>374</v>
      </c>
      <c r="E549" s="116">
        <v>5000</v>
      </c>
      <c r="F549" s="117">
        <v>4.82</v>
      </c>
      <c r="G549" s="117">
        <f>($E549*$F549)*0.0021</f>
        <v>50.61</v>
      </c>
      <c r="H549" s="117">
        <f>$G549*0.07</f>
        <v>3.5427000000000004</v>
      </c>
      <c r="I549" s="117">
        <f>IF($D549="B",(($E549*$F549)+$G549+$H549)*(-1),IF($D549="S",($E549*$F549)-$G549-$H549))</f>
        <v>24045.847299999998</v>
      </c>
      <c r="J549" s="11">
        <f>SUM(I549,I546)</f>
        <v>1197.0553000000036</v>
      </c>
    </row>
    <row r="550" spans="3:9" ht="11.25">
      <c r="C550" s="114" t="s">
        <v>448</v>
      </c>
      <c r="D550" s="115" t="s">
        <v>375</v>
      </c>
      <c r="E550" s="116">
        <v>6000</v>
      </c>
      <c r="F550" s="117">
        <v>7.25</v>
      </c>
      <c r="G550" s="117">
        <f>($E550*$F550)*0.0025</f>
        <v>108.75</v>
      </c>
      <c r="H550" s="117">
        <f>$G550*0.07</f>
        <v>7.612500000000001</v>
      </c>
      <c r="I550" s="117">
        <f>IF($D550="B",(($E550*$F550)+$G550+$H550)*(-1),IF($D550="S",($E550*$F550)-$G550-$H550))</f>
        <v>-43616.3625</v>
      </c>
    </row>
    <row r="551" spans="1:9" ht="12" thickBot="1">
      <c r="A551" s="6"/>
      <c r="B551" s="42"/>
      <c r="C551" s="6"/>
      <c r="D551" s="7"/>
      <c r="E551" s="43"/>
      <c r="F551" s="8"/>
      <c r="G551" s="8"/>
      <c r="H551" s="14" t="s">
        <v>34</v>
      </c>
      <c r="I551" s="14">
        <f>SUM(I548:I550)</f>
        <v>29119.831199999986</v>
      </c>
    </row>
    <row r="552" spans="1:9" ht="11.25">
      <c r="A552" s="3" t="s">
        <v>373</v>
      </c>
      <c r="B552" s="37">
        <v>37914</v>
      </c>
      <c r="C552" s="114" t="s">
        <v>448</v>
      </c>
      <c r="D552" s="115" t="s">
        <v>374</v>
      </c>
      <c r="E552" s="116">
        <v>3000</v>
      </c>
      <c r="F552" s="117">
        <v>6.9</v>
      </c>
      <c r="G552" s="117">
        <v>100</v>
      </c>
      <c r="H552" s="117">
        <f>$G552*0.07</f>
        <v>7.000000000000001</v>
      </c>
      <c r="I552" s="117">
        <f>IF($D552="B",(($E552*$F552)+$G552+$H552)*(-1),IF($D552="S",($E552*$F552)-$G552-$H552))</f>
        <v>20593</v>
      </c>
    </row>
    <row r="553" spans="1:10" ht="12" thickBot="1">
      <c r="A553" s="6"/>
      <c r="B553" s="42"/>
      <c r="C553" s="6"/>
      <c r="D553" s="7"/>
      <c r="E553" s="43"/>
      <c r="F553" s="8"/>
      <c r="G553" s="8"/>
      <c r="H553" s="14" t="s">
        <v>34</v>
      </c>
      <c r="I553" s="14">
        <f>I552</f>
        <v>20593</v>
      </c>
      <c r="J553" s="10"/>
    </row>
    <row r="554" spans="1:9" ht="11.25">
      <c r="A554" s="3" t="s">
        <v>402</v>
      </c>
      <c r="B554" s="37">
        <v>37915</v>
      </c>
      <c r="C554" s="114" t="s">
        <v>448</v>
      </c>
      <c r="D554" s="115" t="s">
        <v>375</v>
      </c>
      <c r="E554" s="116">
        <v>3000</v>
      </c>
      <c r="F554" s="117">
        <v>6.55</v>
      </c>
      <c r="G554" s="117">
        <f>($E554*$F554)*0.0025</f>
        <v>49.125</v>
      </c>
      <c r="H554" s="117">
        <f>$G554*0.07</f>
        <v>3.43875</v>
      </c>
      <c r="I554" s="117">
        <f>IF($D554="B",(($E554*$F554)+$G554+$H554)*(-1),IF($D554="S",($E554*$F554)-$G554-$H554))</f>
        <v>-19702.56375</v>
      </c>
    </row>
    <row r="555" spans="3:11" ht="11.25">
      <c r="C555" s="114" t="s">
        <v>462</v>
      </c>
      <c r="D555" s="115" t="s">
        <v>375</v>
      </c>
      <c r="E555" s="116">
        <v>3000</v>
      </c>
      <c r="F555" s="117">
        <v>10.7</v>
      </c>
      <c r="G555" s="117">
        <f>($E555*$F555)*0.0025</f>
        <v>80.24999999999999</v>
      </c>
      <c r="H555" s="117">
        <f>$G555*0.07</f>
        <v>5.6175</v>
      </c>
      <c r="I555" s="117">
        <f>IF($D555="B",(($E555*$F555)+$G555+$H555)*(-1),IF($D555="S",($E555*$F555)-$G555-$H555))</f>
        <v>-32185.867499999997</v>
      </c>
      <c r="J555" s="10"/>
      <c r="K555" s="10"/>
    </row>
    <row r="556" spans="3:10" ht="11.25">
      <c r="C556" s="114" t="s">
        <v>454</v>
      </c>
      <c r="D556" s="115" t="s">
        <v>375</v>
      </c>
      <c r="E556" s="116">
        <v>200</v>
      </c>
      <c r="F556" s="117">
        <v>60</v>
      </c>
      <c r="G556" s="117">
        <f>($E556*$F556)*0.0021</f>
        <v>25.2</v>
      </c>
      <c r="H556" s="117">
        <f>$G556*0.07</f>
        <v>1.764</v>
      </c>
      <c r="I556" s="117">
        <f>IF($D556="B",(($E556*$F556)+$G556+$H556)*(-1),IF($D556="S",($E556*$F556)-$G556-$H556))</f>
        <v>-12026.964</v>
      </c>
      <c r="J556" s="10"/>
    </row>
    <row r="557" spans="3:11" ht="11.25">
      <c r="C557" s="114" t="s">
        <v>454</v>
      </c>
      <c r="D557" s="115" t="s">
        <v>375</v>
      </c>
      <c r="E557" s="116">
        <v>300</v>
      </c>
      <c r="F557" s="117">
        <v>59</v>
      </c>
      <c r="G557" s="117">
        <f>($E557*$F557)*0.0021</f>
        <v>37.169999999999995</v>
      </c>
      <c r="H557" s="117">
        <f>$G557*0.07</f>
        <v>2.6018999999999997</v>
      </c>
      <c r="I557" s="117">
        <f>IF($D557="B",(($E557*$F557)+$G557+$H557)*(-1),IF($D557="S",($E557*$F557)-$G557-$H557))</f>
        <v>-17739.7719</v>
      </c>
      <c r="K557" s="10"/>
    </row>
    <row r="558" spans="1:11" ht="12" thickBot="1">
      <c r="A558" s="6"/>
      <c r="B558" s="42"/>
      <c r="C558" s="6"/>
      <c r="D558" s="7"/>
      <c r="E558" s="43"/>
      <c r="F558" s="8"/>
      <c r="G558" s="8"/>
      <c r="H558" s="13" t="s">
        <v>14</v>
      </c>
      <c r="I558" s="13">
        <f>SUM(I554:I557)</f>
        <v>-81655.16715</v>
      </c>
      <c r="K558" s="39"/>
    </row>
    <row r="559" spans="1:10" ht="11.25">
      <c r="A559" s="3" t="s">
        <v>377</v>
      </c>
      <c r="B559" s="37">
        <v>37916</v>
      </c>
      <c r="C559" s="114" t="s">
        <v>462</v>
      </c>
      <c r="D559" s="115" t="s">
        <v>374</v>
      </c>
      <c r="E559" s="116">
        <v>3000</v>
      </c>
      <c r="F559" s="117">
        <v>11.4</v>
      </c>
      <c r="G559" s="117">
        <f>($E559*$F559)*0.0025</f>
        <v>85.5</v>
      </c>
      <c r="H559" s="117">
        <f>$G559*0.07</f>
        <v>5.985</v>
      </c>
      <c r="I559" s="117">
        <f>IF($D559="B",(($E559*$F559)+$G559+$H559)*(-1),IF($D559="S",($E559*$F559)-$G559-$H559))</f>
        <v>34108.515</v>
      </c>
      <c r="J559" s="11">
        <f>SUM(I559,I555)</f>
        <v>1922.6475000000028</v>
      </c>
    </row>
    <row r="560" spans="3:9" ht="11.25">
      <c r="C560" s="114" t="s">
        <v>463</v>
      </c>
      <c r="D560" s="115" t="s">
        <v>375</v>
      </c>
      <c r="E560" s="116">
        <v>1500</v>
      </c>
      <c r="F560" s="117">
        <v>15.7</v>
      </c>
      <c r="G560" s="117">
        <f>($E560*$F560)*0.0025</f>
        <v>58.875</v>
      </c>
      <c r="H560" s="117">
        <f>$G560*0.07</f>
        <v>4.121250000000001</v>
      </c>
      <c r="I560" s="117">
        <f>IF($D560="B",(($E560*$F560)+$G560+$H560)*(-1),IF($D560="S",($E560*$F560)-$G560-$H560))</f>
        <v>-23612.99625</v>
      </c>
    </row>
    <row r="561" spans="1:9" ht="12" thickBot="1">
      <c r="A561" s="6"/>
      <c r="B561" s="42"/>
      <c r="C561" s="6"/>
      <c r="D561" s="7"/>
      <c r="E561" s="43"/>
      <c r="F561" s="8"/>
      <c r="G561" s="8"/>
      <c r="H561" s="14" t="s">
        <v>34</v>
      </c>
      <c r="I561" s="14">
        <f>SUM(I559:I560)</f>
        <v>10495.51875</v>
      </c>
    </row>
    <row r="562" spans="1:11" ht="11.25">
      <c r="A562" s="3" t="s">
        <v>381</v>
      </c>
      <c r="B562" s="37">
        <v>37918</v>
      </c>
      <c r="C562" s="114" t="s">
        <v>463</v>
      </c>
      <c r="D562" s="115" t="s">
        <v>374</v>
      </c>
      <c r="E562" s="116">
        <v>1500</v>
      </c>
      <c r="F562" s="117">
        <v>16</v>
      </c>
      <c r="G562" s="117">
        <f>($E562*$F562)*0.0025</f>
        <v>60</v>
      </c>
      <c r="H562" s="117">
        <f>$G562*0.07</f>
        <v>4.2</v>
      </c>
      <c r="I562" s="117">
        <f>IF($D562="B",(($E562*$F562)+$G562+$H562)*(-1),IF($D562="S",($E562*$F562)-$G562-$H562))</f>
        <v>23935.8</v>
      </c>
      <c r="J562" s="11">
        <f>SUM(I562,I560)</f>
        <v>322.8037499999991</v>
      </c>
      <c r="K562" s="10"/>
    </row>
    <row r="563" spans="3:9" ht="11.25">
      <c r="C563" s="114" t="s">
        <v>464</v>
      </c>
      <c r="D563" s="115" t="s">
        <v>375</v>
      </c>
      <c r="E563" s="116">
        <v>2600</v>
      </c>
      <c r="F563" s="117">
        <v>8.05</v>
      </c>
      <c r="G563" s="117">
        <f>($E563*$F563)*0.0025</f>
        <v>52.32500000000001</v>
      </c>
      <c r="H563" s="117">
        <f>$G563*0.07</f>
        <v>3.662750000000001</v>
      </c>
      <c r="I563" s="117">
        <f>IF($D563="B",(($E563*$F563)+$G563+$H563)*(-1),IF($D563="S",($E563*$F563)-$G563-$H563))</f>
        <v>-20985.987750000004</v>
      </c>
    </row>
    <row r="564" spans="3:11" ht="11.25">
      <c r="C564" s="114" t="s">
        <v>320</v>
      </c>
      <c r="D564" s="115" t="s">
        <v>375</v>
      </c>
      <c r="E564" s="116">
        <v>500</v>
      </c>
      <c r="F564" s="117">
        <v>53.5</v>
      </c>
      <c r="G564" s="117">
        <f>($E564*$F564)*0.0025</f>
        <v>66.875</v>
      </c>
      <c r="H564" s="117">
        <f>$G564*0.07</f>
        <v>4.68125</v>
      </c>
      <c r="I564" s="117">
        <f>IF($D564="B",(($E564*$F564)+$G564+$H564)*(-1),IF($D564="S",($E564*$F564)-$G564-$H564))</f>
        <v>-26821.55625</v>
      </c>
      <c r="K564" s="10"/>
    </row>
    <row r="565" spans="3:11" ht="11.25">
      <c r="C565" s="114" t="s">
        <v>454</v>
      </c>
      <c r="D565" s="115" t="s">
        <v>374</v>
      </c>
      <c r="E565" s="116">
        <v>500</v>
      </c>
      <c r="F565" s="117">
        <v>66.5</v>
      </c>
      <c r="G565" s="117">
        <f>($E565*$F565)*0.0021</f>
        <v>69.82499999999999</v>
      </c>
      <c r="H565" s="117">
        <f>$G565*0.07</f>
        <v>4.88775</v>
      </c>
      <c r="I565" s="38">
        <f>IF($D565="B",(($E565*$F565)+$G565+$H565)*(-1),IF($D565="S",($E565*$F565)-$G565-$H565))</f>
        <v>33175.28725</v>
      </c>
      <c r="K565" s="10"/>
    </row>
    <row r="566" spans="1:10" ht="12" thickBot="1">
      <c r="A566" s="6"/>
      <c r="B566" s="42"/>
      <c r="C566" s="6"/>
      <c r="D566" s="7"/>
      <c r="E566" s="43"/>
      <c r="F566" s="8"/>
      <c r="G566" s="8"/>
      <c r="H566" s="14" t="s">
        <v>34</v>
      </c>
      <c r="I566" s="14">
        <v>9303.53</v>
      </c>
      <c r="J566" s="10"/>
    </row>
    <row r="567" spans="1:9" ht="11.25">
      <c r="A567" s="3" t="s">
        <v>373</v>
      </c>
      <c r="B567" s="37">
        <v>37921</v>
      </c>
      <c r="C567" s="114" t="s">
        <v>465</v>
      </c>
      <c r="D567" s="115" t="s">
        <v>375</v>
      </c>
      <c r="E567" s="116">
        <v>400</v>
      </c>
      <c r="F567" s="117">
        <v>75</v>
      </c>
      <c r="G567" s="117">
        <f>($E567*$F567)*0.0025</f>
        <v>75</v>
      </c>
      <c r="H567" s="117">
        <f>$G567*0.07</f>
        <v>5.250000000000001</v>
      </c>
      <c r="I567" s="117">
        <f>IF($D567="B",(($E567*$F567)+$G567+$H567)*(-1),IF($D567="S",($E567*$F567)-$G567-$H567))</f>
        <v>-30080.25</v>
      </c>
    </row>
    <row r="568" spans="3:9" ht="11.25">
      <c r="C568" s="114" t="s">
        <v>464</v>
      </c>
      <c r="D568" s="115" t="s">
        <v>375</v>
      </c>
      <c r="E568" s="116">
        <v>2000</v>
      </c>
      <c r="F568" s="117">
        <v>8.15</v>
      </c>
      <c r="G568" s="117">
        <f>($E568*$F568)*0.0025</f>
        <v>40.75</v>
      </c>
      <c r="H568" s="117">
        <f>$G568*0.07</f>
        <v>2.8525000000000005</v>
      </c>
      <c r="I568" s="117">
        <f>IF($D568="B",(($E568*$F568)+$G568+$H568)*(-1),IF($D568="S",($E568*$F568)-$G568-$H568))</f>
        <v>-16343.6025</v>
      </c>
    </row>
    <row r="569" spans="3:9" ht="11.25">
      <c r="C569" s="114" t="s">
        <v>464</v>
      </c>
      <c r="D569" s="115" t="s">
        <v>375</v>
      </c>
      <c r="E569" s="116">
        <v>2000</v>
      </c>
      <c r="F569" s="117">
        <v>7.95</v>
      </c>
      <c r="G569" s="117">
        <f>($E569*$F569)*0.0025</f>
        <v>39.75</v>
      </c>
      <c r="H569" s="117">
        <f>$G569*0.07</f>
        <v>2.7825</v>
      </c>
      <c r="I569" s="117">
        <f>IF($D569="B",(($E569*$F569)+$G569+$H569)*(-1),IF($D569="S",($E569*$F569)-$G569-$H569))</f>
        <v>-15942.5325</v>
      </c>
    </row>
    <row r="570" spans="3:11" ht="11.25">
      <c r="C570" s="114" t="s">
        <v>448</v>
      </c>
      <c r="D570" s="115" t="s">
        <v>375</v>
      </c>
      <c r="E570" s="116">
        <v>2000</v>
      </c>
      <c r="F570" s="117">
        <v>6.65</v>
      </c>
      <c r="G570" s="117">
        <f>($E570*$F570)*0.0025</f>
        <v>33.25</v>
      </c>
      <c r="H570" s="117">
        <f>$G570*0.07</f>
        <v>2.3275</v>
      </c>
      <c r="I570" s="117">
        <f>IF($D570="B",(($E570*$F570)+$G570+$H570)*(-1),IF($D570="S",($E570*$F570)-$G570-$H570))</f>
        <v>-13335.5775</v>
      </c>
      <c r="K570" s="10"/>
    </row>
    <row r="571" spans="3:11" ht="11.25">
      <c r="C571" s="114" t="s">
        <v>454</v>
      </c>
      <c r="D571" s="115" t="s">
        <v>375</v>
      </c>
      <c r="E571" s="116">
        <v>500</v>
      </c>
      <c r="F571" s="117">
        <v>65</v>
      </c>
      <c r="G571" s="117">
        <f>($E571*$F571)*0.0021</f>
        <v>68.25</v>
      </c>
      <c r="H571" s="117">
        <f>$G571*0.07</f>
        <v>4.777500000000001</v>
      </c>
      <c r="I571" s="38">
        <f>IF($D571="B",(($E571*$F571)+$G571+$H571)*(-1),IF($D571="S",($E571*$F571)-$G571-$H571))</f>
        <v>-32573.0275</v>
      </c>
      <c r="K571" s="10"/>
    </row>
    <row r="572" spans="1:9" ht="12" thickBot="1">
      <c r="A572" s="6"/>
      <c r="B572" s="42"/>
      <c r="C572" s="6"/>
      <c r="D572" s="7"/>
      <c r="E572" s="43"/>
      <c r="F572" s="8"/>
      <c r="G572" s="8"/>
      <c r="H572" s="13" t="s">
        <v>14</v>
      </c>
      <c r="I572" s="13">
        <f>SUM(I567:I571)</f>
        <v>-108274.98999999999</v>
      </c>
    </row>
    <row r="573" spans="1:9" ht="11.25">
      <c r="A573" s="3" t="s">
        <v>402</v>
      </c>
      <c r="B573" s="37">
        <v>37922</v>
      </c>
      <c r="C573" s="114" t="s">
        <v>467</v>
      </c>
      <c r="D573" s="115" t="s">
        <v>375</v>
      </c>
      <c r="E573" s="116">
        <v>3000</v>
      </c>
      <c r="F573" s="117">
        <v>8.6</v>
      </c>
      <c r="G573" s="117">
        <f>($E573*$F573)*0.0025</f>
        <v>64.5</v>
      </c>
      <c r="H573" s="117">
        <f>$G573*0.07</f>
        <v>4.515000000000001</v>
      </c>
      <c r="I573" s="117">
        <f>IF($D573="B",(($E573*$F573)+$G573+$H573)*(-1),IF($D573="S",($E573*$F573)-$G573-$H573))</f>
        <v>-25869.015</v>
      </c>
    </row>
    <row r="574" spans="3:10" ht="11.25">
      <c r="C574" s="114" t="s">
        <v>467</v>
      </c>
      <c r="D574" s="115" t="s">
        <v>374</v>
      </c>
      <c r="E574" s="116">
        <v>3000</v>
      </c>
      <c r="F574" s="117">
        <v>8.8</v>
      </c>
      <c r="G574" s="117">
        <f>($E574*$F574)*0.0025</f>
        <v>66.00000000000001</v>
      </c>
      <c r="H574" s="117">
        <f>$G574*0.07</f>
        <v>4.620000000000001</v>
      </c>
      <c r="I574" s="117">
        <f>IF($D574="B",(($E574*$F574)+$G574+$H574)*(-1),IF($D574="S",($E574*$F574)-$G574-$H574))</f>
        <v>26329.380000000005</v>
      </c>
      <c r="J574" s="11">
        <f>SUM(I573:I574)</f>
        <v>460.36500000000524</v>
      </c>
    </row>
    <row r="575" spans="1:9" ht="12" thickBot="1">
      <c r="A575" s="6"/>
      <c r="B575" s="42"/>
      <c r="C575" s="6"/>
      <c r="D575" s="7"/>
      <c r="E575" s="43"/>
      <c r="F575" s="8"/>
      <c r="G575" s="8"/>
      <c r="H575" s="14" t="s">
        <v>34</v>
      </c>
      <c r="I575" s="14">
        <f>SUM(I573:I574)</f>
        <v>460.36500000000524</v>
      </c>
    </row>
    <row r="576" spans="1:10" ht="11.25">
      <c r="A576" s="3" t="s">
        <v>377</v>
      </c>
      <c r="B576" s="37">
        <v>37923</v>
      </c>
      <c r="C576" s="114" t="s">
        <v>320</v>
      </c>
      <c r="D576" s="115" t="s">
        <v>374</v>
      </c>
      <c r="E576" s="116">
        <v>500</v>
      </c>
      <c r="F576" s="117">
        <v>56.5</v>
      </c>
      <c r="G576" s="117">
        <v>100</v>
      </c>
      <c r="H576" s="117">
        <f>$G576*0.07</f>
        <v>7.000000000000001</v>
      </c>
      <c r="I576" s="117">
        <f>IF($D576="B",(($E576*$F576)+$G576+$H576)*(-1),IF($D576="S",($E576*$F576)-$G576-$H576))</f>
        <v>28143</v>
      </c>
      <c r="J576" s="11">
        <f>SUM(I576,I564)</f>
        <v>1321.4437499999985</v>
      </c>
    </row>
    <row r="577" spans="3:9" ht="11.25">
      <c r="C577" s="114" t="s">
        <v>454</v>
      </c>
      <c r="D577" s="115" t="s">
        <v>375</v>
      </c>
      <c r="E577" s="116">
        <v>300</v>
      </c>
      <c r="F577" s="117">
        <v>70</v>
      </c>
      <c r="G577" s="117">
        <f>($E577*$F577)*0.0021</f>
        <v>44.099999999999994</v>
      </c>
      <c r="H577" s="117">
        <f>$G577*0.07</f>
        <v>3.0869999999999997</v>
      </c>
      <c r="I577" s="38">
        <f>IF($D577="B",(($E577*$F577)+$G577+$H577)*(-1),IF($D577="S",($E577*$F577)-$G577-$H577))</f>
        <v>-21047.186999999998</v>
      </c>
    </row>
    <row r="578" spans="3:10" ht="11.25">
      <c r="C578" s="114" t="s">
        <v>454</v>
      </c>
      <c r="D578" s="115" t="s">
        <v>374</v>
      </c>
      <c r="E578" s="116">
        <v>300</v>
      </c>
      <c r="F578" s="117">
        <v>72.5</v>
      </c>
      <c r="G578" s="117">
        <f>($E578*$F578)*0.0021</f>
        <v>45.675</v>
      </c>
      <c r="H578" s="117">
        <f>$G578*0.07</f>
        <v>3.19725</v>
      </c>
      <c r="I578" s="38">
        <f>IF($D578="B",(($E578*$F578)+$G578+$H578)*(-1),IF($D578="S",($E578*$F578)-$G578-$H578))</f>
        <v>21701.12775</v>
      </c>
      <c r="J578" s="10"/>
    </row>
    <row r="579" spans="1:9" ht="12" thickBot="1">
      <c r="A579" s="6"/>
      <c r="B579" s="42"/>
      <c r="C579" s="6"/>
      <c r="D579" s="7"/>
      <c r="E579" s="43"/>
      <c r="F579" s="8"/>
      <c r="G579" s="8"/>
      <c r="H579" s="14" t="s">
        <v>34</v>
      </c>
      <c r="I579" s="14">
        <f>SUM(I576:I578)</f>
        <v>28796.94075</v>
      </c>
    </row>
    <row r="580" spans="1:9" ht="11.25">
      <c r="A580" s="3" t="s">
        <v>379</v>
      </c>
      <c r="B580" s="37">
        <v>37924</v>
      </c>
      <c r="C580" s="114" t="s">
        <v>448</v>
      </c>
      <c r="D580" s="115" t="s">
        <v>374</v>
      </c>
      <c r="E580" s="116">
        <v>5000</v>
      </c>
      <c r="F580" s="117">
        <v>7</v>
      </c>
      <c r="G580" s="117">
        <f>($E580*$F580)*0.0025</f>
        <v>87.5</v>
      </c>
      <c r="H580" s="117">
        <f>$G580*0.07</f>
        <v>6.125000000000001</v>
      </c>
      <c r="I580" s="117">
        <f>IF($D580="B",(($E580*$F580)+$G580+$H580)*(-1),IF($D580="S",($E580*$F580)-$G580-$H580))</f>
        <v>34906.375</v>
      </c>
    </row>
    <row r="581" spans="3:9" ht="11.25">
      <c r="C581" s="114" t="s">
        <v>448</v>
      </c>
      <c r="D581" s="115" t="s">
        <v>375</v>
      </c>
      <c r="E581" s="116">
        <v>3000</v>
      </c>
      <c r="F581" s="117">
        <v>6.75</v>
      </c>
      <c r="G581" s="117">
        <f>($E581*$F581)*0.0025</f>
        <v>50.625</v>
      </c>
      <c r="H581" s="117">
        <f>$G581*0.07</f>
        <v>3.54375</v>
      </c>
      <c r="I581" s="117">
        <f>IF($D581="B",(($E581*$F581)+$G581+$H581)*(-1),IF($D581="S",($E581*$F581)-$G581-$H581))</f>
        <v>-20304.16875</v>
      </c>
    </row>
    <row r="582" spans="3:10" ht="11.25">
      <c r="C582" s="114" t="s">
        <v>468</v>
      </c>
      <c r="D582" s="115" t="s">
        <v>375</v>
      </c>
      <c r="E582" s="116">
        <v>1000</v>
      </c>
      <c r="F582" s="117">
        <v>25.5</v>
      </c>
      <c r="G582" s="117">
        <f>($E582*$F582)*0.0025</f>
        <v>63.75</v>
      </c>
      <c r="H582" s="117">
        <f>$G582*0.07</f>
        <v>4.4625</v>
      </c>
      <c r="I582" s="117">
        <f>IF($D582="B",(($E582*$F582)+$G582+$H582)*(-1),IF($D582="S",($E582*$F582)-$G582-$H582))</f>
        <v>-25568.2125</v>
      </c>
      <c r="J582" s="10"/>
    </row>
    <row r="583" spans="3:9" ht="11.25">
      <c r="C583" s="114" t="s">
        <v>464</v>
      </c>
      <c r="D583" s="115" t="s">
        <v>375</v>
      </c>
      <c r="E583" s="116">
        <v>2000</v>
      </c>
      <c r="F583" s="117">
        <v>8.15</v>
      </c>
      <c r="G583" s="117">
        <f>($E583*$F583)*0.0025</f>
        <v>40.75</v>
      </c>
      <c r="H583" s="117">
        <f>$G583*0.07</f>
        <v>2.8525000000000005</v>
      </c>
      <c r="I583" s="117">
        <f>IF($D583="B",(($E583*$F583)+$G583+$H583)*(-1),IF($D583="S",($E583*$F583)-$G583-$H583))</f>
        <v>-16343.6025</v>
      </c>
    </row>
    <row r="584" spans="1:9" ht="12" thickBot="1">
      <c r="A584" s="6"/>
      <c r="B584" s="42"/>
      <c r="C584" s="6"/>
      <c r="D584" s="7"/>
      <c r="E584" s="43"/>
      <c r="F584" s="8"/>
      <c r="G584" s="8"/>
      <c r="H584" s="13" t="s">
        <v>14</v>
      </c>
      <c r="I584" s="13">
        <f>SUM(I580:I583)</f>
        <v>-27309.608750000003</v>
      </c>
    </row>
    <row r="585" spans="1:9" ht="11.25">
      <c r="A585" s="3" t="s">
        <v>381</v>
      </c>
      <c r="B585" s="37">
        <v>37925</v>
      </c>
      <c r="C585" s="114" t="s">
        <v>469</v>
      </c>
      <c r="D585" s="115" t="s">
        <v>375</v>
      </c>
      <c r="E585" s="116">
        <v>5000</v>
      </c>
      <c r="F585" s="117">
        <v>4.8</v>
      </c>
      <c r="G585" s="117">
        <f aca="true" t="shared" si="18" ref="G585:G593">($E585*$F585)*0.0025</f>
        <v>60</v>
      </c>
      <c r="H585" s="117">
        <f aca="true" t="shared" si="19" ref="H585:H647">$G585*0.07</f>
        <v>4.2</v>
      </c>
      <c r="I585" s="117">
        <f aca="true" t="shared" si="20" ref="I585:I647">IF($D585="B",(($E585*$F585)+$G585+$H585)*(-1),IF($D585="S",($E585*$F585)-$G585-$H585))</f>
        <v>-24064.2</v>
      </c>
    </row>
    <row r="586" spans="3:9" ht="11.25">
      <c r="C586" s="114" t="s">
        <v>469</v>
      </c>
      <c r="D586" s="115" t="s">
        <v>375</v>
      </c>
      <c r="E586" s="116">
        <v>1000</v>
      </c>
      <c r="F586" s="117">
        <v>4.76</v>
      </c>
      <c r="G586" s="117">
        <f t="shared" si="18"/>
        <v>11.9</v>
      </c>
      <c r="H586" s="117">
        <f t="shared" si="19"/>
        <v>0.8330000000000001</v>
      </c>
      <c r="I586" s="117">
        <f t="shared" si="20"/>
        <v>-4772.732999999999</v>
      </c>
    </row>
    <row r="587" spans="3:10" ht="11.25">
      <c r="C587" s="114" t="s">
        <v>469</v>
      </c>
      <c r="D587" s="115" t="s">
        <v>374</v>
      </c>
      <c r="E587" s="116">
        <v>6000</v>
      </c>
      <c r="F587" s="117">
        <v>4.88</v>
      </c>
      <c r="G587" s="117">
        <f t="shared" si="18"/>
        <v>73.2</v>
      </c>
      <c r="H587" s="117">
        <f t="shared" si="19"/>
        <v>5.1240000000000006</v>
      </c>
      <c r="I587" s="117">
        <f t="shared" si="20"/>
        <v>29201.676</v>
      </c>
      <c r="J587" s="11">
        <f>SUM(I585:I587)</f>
        <v>364.7429999999986</v>
      </c>
    </row>
    <row r="588" spans="3:9" ht="11.25">
      <c r="C588" s="114" t="s">
        <v>470</v>
      </c>
      <c r="D588" s="115" t="s">
        <v>375</v>
      </c>
      <c r="E588" s="116">
        <v>200</v>
      </c>
      <c r="F588" s="117">
        <v>28.25</v>
      </c>
      <c r="G588" s="117">
        <f t="shared" si="18"/>
        <v>14.125</v>
      </c>
      <c r="H588" s="117">
        <f t="shared" si="19"/>
        <v>0.9887500000000001</v>
      </c>
      <c r="I588" s="117">
        <f t="shared" si="20"/>
        <v>-5665.11375</v>
      </c>
    </row>
    <row r="589" spans="3:10" ht="11.25">
      <c r="C589" s="114" t="s">
        <v>468</v>
      </c>
      <c r="D589" s="115" t="s">
        <v>374</v>
      </c>
      <c r="E589" s="116">
        <v>1000</v>
      </c>
      <c r="F589" s="117">
        <v>25.75</v>
      </c>
      <c r="G589" s="117">
        <f t="shared" si="18"/>
        <v>64.375</v>
      </c>
      <c r="H589" s="117">
        <f t="shared" si="19"/>
        <v>4.5062500000000005</v>
      </c>
      <c r="I589" s="117">
        <f t="shared" si="20"/>
        <v>25681.11875</v>
      </c>
      <c r="J589" s="11">
        <f>SUM(I589,I582)</f>
        <v>112.90625</v>
      </c>
    </row>
    <row r="590" spans="3:9" ht="11.25">
      <c r="C590" s="114" t="s">
        <v>448</v>
      </c>
      <c r="D590" s="115" t="s">
        <v>375</v>
      </c>
      <c r="E590" s="116">
        <v>1000</v>
      </c>
      <c r="F590" s="117">
        <v>6.85</v>
      </c>
      <c r="G590" s="117">
        <f t="shared" si="18"/>
        <v>17.125</v>
      </c>
      <c r="H590" s="117">
        <f t="shared" si="19"/>
        <v>1.1987500000000002</v>
      </c>
      <c r="I590" s="117">
        <f t="shared" si="20"/>
        <v>-6868.32375</v>
      </c>
    </row>
    <row r="591" spans="3:9" ht="11.25">
      <c r="C591" s="114" t="s">
        <v>448</v>
      </c>
      <c r="D591" s="115" t="s">
        <v>374</v>
      </c>
      <c r="E591" s="116">
        <v>5000</v>
      </c>
      <c r="F591" s="117">
        <v>6.95</v>
      </c>
      <c r="G591" s="117">
        <f t="shared" si="18"/>
        <v>86.875</v>
      </c>
      <c r="H591" s="117">
        <f t="shared" si="19"/>
        <v>6.081250000000001</v>
      </c>
      <c r="I591" s="117">
        <f t="shared" si="20"/>
        <v>34657.04375</v>
      </c>
    </row>
    <row r="592" spans="3:9" ht="11.25">
      <c r="C592" s="114" t="s">
        <v>437</v>
      </c>
      <c r="D592" s="115" t="s">
        <v>375</v>
      </c>
      <c r="E592" s="116">
        <v>5000</v>
      </c>
      <c r="F592" s="117">
        <v>4.7</v>
      </c>
      <c r="G592" s="117">
        <f t="shared" si="18"/>
        <v>58.75</v>
      </c>
      <c r="H592" s="117">
        <f t="shared" si="19"/>
        <v>4.112500000000001</v>
      </c>
      <c r="I592" s="117">
        <f t="shared" si="20"/>
        <v>-23562.8625</v>
      </c>
    </row>
    <row r="593" spans="3:10" ht="11.25">
      <c r="C593" s="114" t="s">
        <v>465</v>
      </c>
      <c r="D593" s="115" t="s">
        <v>374</v>
      </c>
      <c r="E593" s="116">
        <v>400</v>
      </c>
      <c r="F593" s="117">
        <v>75.5</v>
      </c>
      <c r="G593" s="117">
        <f t="shared" si="18"/>
        <v>75.5</v>
      </c>
      <c r="H593" s="117">
        <f t="shared" si="19"/>
        <v>5.285</v>
      </c>
      <c r="I593" s="117">
        <f t="shared" si="20"/>
        <v>30119.215</v>
      </c>
      <c r="J593" s="11">
        <f>SUM(I593,I567)</f>
        <v>38.965000000000146</v>
      </c>
    </row>
    <row r="594" spans="1:9" ht="12" thickBot="1">
      <c r="A594" s="6"/>
      <c r="B594" s="42"/>
      <c r="C594" s="6"/>
      <c r="D594" s="7"/>
      <c r="E594" s="43"/>
      <c r="F594" s="8"/>
      <c r="G594" s="8"/>
      <c r="H594" s="14" t="s">
        <v>34</v>
      </c>
      <c r="I594" s="14">
        <f>SUM(I585:I593)</f>
        <v>54725.820499999994</v>
      </c>
    </row>
    <row r="595" spans="1:9" ht="11.25">
      <c r="A595" s="3" t="s">
        <v>402</v>
      </c>
      <c r="B595" s="37">
        <v>37929</v>
      </c>
      <c r="C595" s="114" t="s">
        <v>469</v>
      </c>
      <c r="D595" s="115" t="s">
        <v>375</v>
      </c>
      <c r="E595" s="116">
        <v>5000</v>
      </c>
      <c r="F595" s="117">
        <v>4.84</v>
      </c>
      <c r="G595" s="117">
        <v>100</v>
      </c>
      <c r="H595" s="117">
        <f t="shared" si="19"/>
        <v>7.000000000000001</v>
      </c>
      <c r="I595" s="117">
        <f t="shared" si="20"/>
        <v>-24307</v>
      </c>
    </row>
    <row r="596" spans="1:9" ht="12" thickBot="1">
      <c r="A596" s="6"/>
      <c r="B596" s="42"/>
      <c r="C596" s="6"/>
      <c r="D596" s="7"/>
      <c r="E596" s="43"/>
      <c r="F596" s="8"/>
      <c r="G596" s="8"/>
      <c r="H596" s="13" t="s">
        <v>14</v>
      </c>
      <c r="I596" s="13">
        <f>I595</f>
        <v>-24307</v>
      </c>
    </row>
    <row r="597" spans="1:9" ht="11.25">
      <c r="A597" s="3" t="s">
        <v>377</v>
      </c>
      <c r="B597" s="37">
        <v>37930</v>
      </c>
      <c r="C597" s="114" t="s">
        <v>472</v>
      </c>
      <c r="D597" s="115" t="s">
        <v>375</v>
      </c>
      <c r="E597" s="116">
        <v>1000</v>
      </c>
      <c r="F597" s="117">
        <v>14.5</v>
      </c>
      <c r="G597" s="117">
        <f>($E597*$F597)*0.0025</f>
        <v>36.25</v>
      </c>
      <c r="H597" s="117">
        <f t="shared" si="19"/>
        <v>2.5375</v>
      </c>
      <c r="I597" s="117">
        <f t="shared" si="20"/>
        <v>-14538.7875</v>
      </c>
    </row>
    <row r="598" spans="3:9" ht="11.25">
      <c r="C598" s="114" t="s">
        <v>469</v>
      </c>
      <c r="D598" s="115" t="s">
        <v>374</v>
      </c>
      <c r="E598" s="116">
        <v>10000</v>
      </c>
      <c r="F598" s="117">
        <v>4.94</v>
      </c>
      <c r="G598" s="117">
        <f>($E598*$F598)*0.0025</f>
        <v>123.50000000000001</v>
      </c>
      <c r="H598" s="117">
        <f t="shared" si="19"/>
        <v>8.645000000000001</v>
      </c>
      <c r="I598" s="117">
        <f t="shared" si="20"/>
        <v>49267.85500000001</v>
      </c>
    </row>
    <row r="599" spans="3:9" ht="11.25">
      <c r="C599" s="114" t="s">
        <v>469</v>
      </c>
      <c r="D599" s="115" t="s">
        <v>375</v>
      </c>
      <c r="E599" s="116">
        <v>10000</v>
      </c>
      <c r="F599" s="117">
        <v>4.9</v>
      </c>
      <c r="G599" s="117">
        <f>($E599*$F599)*0.0025</f>
        <v>122.5</v>
      </c>
      <c r="H599" s="117">
        <f t="shared" si="19"/>
        <v>8.575000000000001</v>
      </c>
      <c r="I599" s="117">
        <f t="shared" si="20"/>
        <v>-49131.075</v>
      </c>
    </row>
    <row r="600" spans="1:9" ht="12" thickBot="1">
      <c r="A600" s="6"/>
      <c r="B600" s="42"/>
      <c r="C600" s="6"/>
      <c r="D600" s="7"/>
      <c r="E600" s="43"/>
      <c r="F600" s="8"/>
      <c r="G600" s="8"/>
      <c r="H600" s="13" t="s">
        <v>14</v>
      </c>
      <c r="I600" s="13">
        <f>SUM(I597:I599)</f>
        <v>-14402.007499999985</v>
      </c>
    </row>
    <row r="601" spans="1:9" ht="11.25">
      <c r="A601" s="3" t="s">
        <v>379</v>
      </c>
      <c r="B601" s="37">
        <v>37931</v>
      </c>
      <c r="C601" s="114" t="s">
        <v>464</v>
      </c>
      <c r="D601" s="115" t="s">
        <v>374</v>
      </c>
      <c r="E601" s="116">
        <v>2000</v>
      </c>
      <c r="F601" s="117">
        <v>8.25</v>
      </c>
      <c r="G601" s="117">
        <f>($E601*$F601)*0.0025</f>
        <v>41.25</v>
      </c>
      <c r="H601" s="117">
        <f t="shared" si="19"/>
        <v>2.8875</v>
      </c>
      <c r="I601" s="117">
        <f t="shared" si="20"/>
        <v>16455.8625</v>
      </c>
    </row>
    <row r="602" spans="3:9" ht="11.25">
      <c r="C602" s="114" t="s">
        <v>464</v>
      </c>
      <c r="D602" s="115" t="s">
        <v>374</v>
      </c>
      <c r="E602" s="116">
        <v>3000</v>
      </c>
      <c r="F602" s="117">
        <v>8.35</v>
      </c>
      <c r="G602" s="117">
        <f>($E602*$F602)*0.0025</f>
        <v>62.625</v>
      </c>
      <c r="H602" s="117">
        <f t="shared" si="19"/>
        <v>4.38375</v>
      </c>
      <c r="I602" s="117">
        <f t="shared" si="20"/>
        <v>24982.99125</v>
      </c>
    </row>
    <row r="603" spans="3:9" ht="11.25">
      <c r="C603" s="114" t="s">
        <v>464</v>
      </c>
      <c r="D603" s="115" t="s">
        <v>375</v>
      </c>
      <c r="E603" s="116">
        <v>6000</v>
      </c>
      <c r="F603" s="117">
        <v>8.1</v>
      </c>
      <c r="G603" s="117">
        <f>($E603*$F603)*0.0025</f>
        <v>121.5</v>
      </c>
      <c r="H603" s="117">
        <f t="shared" si="19"/>
        <v>8.505</v>
      </c>
      <c r="I603" s="117">
        <f t="shared" si="20"/>
        <v>-48730.005</v>
      </c>
    </row>
    <row r="604" spans="1:9" ht="12" thickBot="1">
      <c r="A604" s="6"/>
      <c r="B604" s="42"/>
      <c r="C604" s="6"/>
      <c r="D604" s="7"/>
      <c r="E604" s="43"/>
      <c r="F604" s="8"/>
      <c r="G604" s="8"/>
      <c r="H604" s="13" t="s">
        <v>14</v>
      </c>
      <c r="I604" s="13">
        <f>SUM(I601:I603)</f>
        <v>-7291.151250000003</v>
      </c>
    </row>
    <row r="605" spans="1:9" ht="11.25">
      <c r="A605" s="3" t="s">
        <v>381</v>
      </c>
      <c r="B605" s="37">
        <v>37932</v>
      </c>
      <c r="C605" s="114" t="s">
        <v>464</v>
      </c>
      <c r="D605" s="115" t="s">
        <v>375</v>
      </c>
      <c r="E605" s="116">
        <v>1000</v>
      </c>
      <c r="F605" s="117">
        <v>8.15</v>
      </c>
      <c r="G605" s="117">
        <f aca="true" t="shared" si="21" ref="G605:G616">($E605*$F605)*0.0025</f>
        <v>20.375</v>
      </c>
      <c r="H605" s="117">
        <f t="shared" si="19"/>
        <v>1.4262500000000002</v>
      </c>
      <c r="I605" s="117">
        <f t="shared" si="20"/>
        <v>-8171.80125</v>
      </c>
    </row>
    <row r="606" spans="3:9" ht="11.25">
      <c r="C606" s="114" t="s">
        <v>429</v>
      </c>
      <c r="D606" s="115" t="s">
        <v>375</v>
      </c>
      <c r="E606" s="116">
        <v>800</v>
      </c>
      <c r="F606" s="117">
        <v>41.75</v>
      </c>
      <c r="G606" s="117">
        <f t="shared" si="21"/>
        <v>83.5</v>
      </c>
      <c r="H606" s="117">
        <f t="shared" si="19"/>
        <v>5.845000000000001</v>
      </c>
      <c r="I606" s="117">
        <f t="shared" si="20"/>
        <v>-33489.345</v>
      </c>
    </row>
    <row r="607" spans="3:10" ht="11.25">
      <c r="C607" s="114" t="s">
        <v>429</v>
      </c>
      <c r="D607" s="115" t="s">
        <v>374</v>
      </c>
      <c r="E607" s="116">
        <v>800</v>
      </c>
      <c r="F607" s="117">
        <v>42.75</v>
      </c>
      <c r="G607" s="117">
        <f t="shared" si="21"/>
        <v>85.5</v>
      </c>
      <c r="H607" s="117">
        <f t="shared" si="19"/>
        <v>5.985</v>
      </c>
      <c r="I607" s="117">
        <f t="shared" si="20"/>
        <v>34108.515</v>
      </c>
      <c r="J607" s="11">
        <f>SUM(I606:I607)</f>
        <v>619.1699999999983</v>
      </c>
    </row>
    <row r="608" spans="3:10" ht="11.25">
      <c r="C608" s="114" t="s">
        <v>470</v>
      </c>
      <c r="D608" s="115" t="s">
        <v>374</v>
      </c>
      <c r="E608" s="116">
        <v>200</v>
      </c>
      <c r="F608" s="117">
        <v>27.25</v>
      </c>
      <c r="G608" s="117">
        <f t="shared" si="21"/>
        <v>13.625</v>
      </c>
      <c r="H608" s="117">
        <f t="shared" si="19"/>
        <v>0.9537500000000001</v>
      </c>
      <c r="I608" s="117">
        <f t="shared" si="20"/>
        <v>5435.42125</v>
      </c>
      <c r="J608" s="18">
        <f>SUM(I608,I588)</f>
        <v>-229.6925000000001</v>
      </c>
    </row>
    <row r="609" spans="3:9" ht="11.25">
      <c r="C609" s="114" t="s">
        <v>472</v>
      </c>
      <c r="D609" s="115" t="s">
        <v>375</v>
      </c>
      <c r="E609" s="116">
        <v>2000</v>
      </c>
      <c r="F609" s="117">
        <v>14.2</v>
      </c>
      <c r="G609" s="117">
        <f t="shared" si="21"/>
        <v>71</v>
      </c>
      <c r="H609" s="117">
        <f t="shared" si="19"/>
        <v>4.970000000000001</v>
      </c>
      <c r="I609" s="117">
        <f t="shared" si="20"/>
        <v>-28475.97</v>
      </c>
    </row>
    <row r="610" spans="3:10" ht="11.25">
      <c r="C610" s="114" t="s">
        <v>448</v>
      </c>
      <c r="D610" s="115" t="s">
        <v>374</v>
      </c>
      <c r="E610" s="116">
        <v>2000</v>
      </c>
      <c r="F610" s="117">
        <v>6.65</v>
      </c>
      <c r="G610" s="117">
        <f t="shared" si="21"/>
        <v>33.25</v>
      </c>
      <c r="H610" s="117">
        <f t="shared" si="19"/>
        <v>2.3275</v>
      </c>
      <c r="I610" s="117">
        <f t="shared" si="20"/>
        <v>13264.4225</v>
      </c>
      <c r="J610" s="18">
        <f>SUM(I610,I590:I591,I580:I581,I570,I554,I552,I550,)</f>
        <v>-406.15499999999884</v>
      </c>
    </row>
    <row r="611" spans="1:9" ht="12" thickBot="1">
      <c r="A611" s="6"/>
      <c r="B611" s="42"/>
      <c r="C611" s="6"/>
      <c r="D611" s="7"/>
      <c r="E611" s="43"/>
      <c r="F611" s="8"/>
      <c r="G611" s="8"/>
      <c r="H611" s="13" t="s">
        <v>14</v>
      </c>
      <c r="I611" s="13">
        <f>SUM(I605:I610)</f>
        <v>-17328.757500000007</v>
      </c>
    </row>
    <row r="612" spans="1:9" ht="11.25">
      <c r="A612" s="3" t="s">
        <v>373</v>
      </c>
      <c r="B612" s="37">
        <v>37935</v>
      </c>
      <c r="C612" s="114" t="s">
        <v>469</v>
      </c>
      <c r="D612" s="115" t="s">
        <v>374</v>
      </c>
      <c r="E612" s="116">
        <v>3000</v>
      </c>
      <c r="F612" s="117">
        <v>4.7</v>
      </c>
      <c r="G612" s="117">
        <f t="shared" si="21"/>
        <v>35.25</v>
      </c>
      <c r="H612" s="117">
        <f t="shared" si="19"/>
        <v>2.4675000000000002</v>
      </c>
      <c r="I612" s="117">
        <f t="shared" si="20"/>
        <v>14062.2825</v>
      </c>
    </row>
    <row r="613" spans="3:10" ht="11.25">
      <c r="C613" s="114" t="s">
        <v>469</v>
      </c>
      <c r="D613" s="115" t="s">
        <v>374</v>
      </c>
      <c r="E613" s="116">
        <v>2000</v>
      </c>
      <c r="F613" s="117">
        <v>4.72</v>
      </c>
      <c r="G613" s="117">
        <f t="shared" si="21"/>
        <v>23.6</v>
      </c>
      <c r="H613" s="117">
        <f t="shared" si="19"/>
        <v>1.6520000000000004</v>
      </c>
      <c r="I613" s="117">
        <f t="shared" si="20"/>
        <v>9414.748</v>
      </c>
      <c r="J613" s="18">
        <f>SUM(I612:I613,I598:I599,I595)</f>
        <v>-693.1894999999931</v>
      </c>
    </row>
    <row r="614" spans="3:9" ht="11.25">
      <c r="C614" s="114" t="s">
        <v>464</v>
      </c>
      <c r="D614" s="115" t="s">
        <v>374</v>
      </c>
      <c r="E614" s="116">
        <v>3000</v>
      </c>
      <c r="F614" s="117">
        <v>8.8</v>
      </c>
      <c r="G614" s="117">
        <f t="shared" si="21"/>
        <v>66.00000000000001</v>
      </c>
      <c r="H614" s="117">
        <f t="shared" si="19"/>
        <v>4.620000000000001</v>
      </c>
      <c r="I614" s="38">
        <f t="shared" si="20"/>
        <v>26329.380000000005</v>
      </c>
    </row>
    <row r="615" spans="3:9" ht="11.25">
      <c r="C615" s="114" t="s">
        <v>464</v>
      </c>
      <c r="D615" s="115" t="s">
        <v>375</v>
      </c>
      <c r="E615" s="116">
        <v>3000</v>
      </c>
      <c r="F615" s="117">
        <v>8.75</v>
      </c>
      <c r="G615" s="117">
        <f t="shared" si="21"/>
        <v>65.625</v>
      </c>
      <c r="H615" s="117">
        <f t="shared" si="19"/>
        <v>4.59375</v>
      </c>
      <c r="I615" s="38">
        <f t="shared" si="20"/>
        <v>-26320.21875</v>
      </c>
    </row>
    <row r="616" spans="3:9" ht="11.25">
      <c r="C616" s="114" t="s">
        <v>473</v>
      </c>
      <c r="D616" s="115" t="s">
        <v>375</v>
      </c>
      <c r="E616" s="116">
        <v>4000</v>
      </c>
      <c r="F616" s="117">
        <v>5.35</v>
      </c>
      <c r="G616" s="117">
        <f t="shared" si="21"/>
        <v>53.5</v>
      </c>
      <c r="H616" s="117">
        <f t="shared" si="19"/>
        <v>3.7450000000000006</v>
      </c>
      <c r="I616" s="38">
        <f t="shared" si="20"/>
        <v>-21457.245</v>
      </c>
    </row>
    <row r="617" spans="1:9" ht="12" thickBot="1">
      <c r="A617" s="6"/>
      <c r="B617" s="42"/>
      <c r="C617" s="6"/>
      <c r="D617" s="7"/>
      <c r="E617" s="43"/>
      <c r="F617" s="8"/>
      <c r="G617" s="8"/>
      <c r="H617" s="14" t="s">
        <v>34</v>
      </c>
      <c r="I617" s="14">
        <f>SUM(I612:I616)</f>
        <v>2028.9467500000064</v>
      </c>
    </row>
    <row r="618" spans="1:12" ht="11.25">
      <c r="A618" s="3" t="s">
        <v>402</v>
      </c>
      <c r="B618" s="37">
        <v>37936</v>
      </c>
      <c r="C618" s="114" t="s">
        <v>429</v>
      </c>
      <c r="D618" s="115" t="s">
        <v>375</v>
      </c>
      <c r="E618" s="116">
        <v>500</v>
      </c>
      <c r="F618" s="117">
        <v>44</v>
      </c>
      <c r="G618" s="117">
        <f>(($E618*$F618)*0.0025)+28.4123222748815</f>
        <v>83.4123222748815</v>
      </c>
      <c r="H618" s="117">
        <f t="shared" si="19"/>
        <v>5.838862559241706</v>
      </c>
      <c r="I618" s="38">
        <f t="shared" si="20"/>
        <v>-22089.251184834124</v>
      </c>
      <c r="L618" s="10"/>
    </row>
    <row r="619" spans="3:12" ht="11.25">
      <c r="C619" s="114" t="s">
        <v>429</v>
      </c>
      <c r="D619" s="115" t="s">
        <v>375</v>
      </c>
      <c r="E619" s="116">
        <v>100</v>
      </c>
      <c r="F619" s="117">
        <v>43.75</v>
      </c>
      <c r="G619" s="117">
        <f>(($E619*$F619)*0.0025)+5.65017772511848</f>
        <v>16.587677725118482</v>
      </c>
      <c r="H619" s="117">
        <f t="shared" si="19"/>
        <v>1.161137440758294</v>
      </c>
      <c r="I619" s="38">
        <f t="shared" si="20"/>
        <v>-4392.748815165877</v>
      </c>
      <c r="L619" s="10"/>
    </row>
    <row r="620" spans="1:9" ht="12" thickBot="1">
      <c r="A620" s="6"/>
      <c r="B620" s="42"/>
      <c r="C620" s="6"/>
      <c r="D620" s="7"/>
      <c r="E620" s="43"/>
      <c r="F620" s="8"/>
      <c r="G620" s="8"/>
      <c r="H620" s="13" t="s">
        <v>14</v>
      </c>
      <c r="I620" s="13">
        <f>SUM(I618:I619)</f>
        <v>-26482</v>
      </c>
    </row>
    <row r="621" spans="1:9" ht="11.25">
      <c r="A621" s="3" t="s">
        <v>377</v>
      </c>
      <c r="B621" s="37">
        <v>37937</v>
      </c>
      <c r="C621" s="114" t="s">
        <v>464</v>
      </c>
      <c r="D621" s="115" t="s">
        <v>374</v>
      </c>
      <c r="E621" s="116">
        <v>1000</v>
      </c>
      <c r="F621" s="117">
        <v>8.35</v>
      </c>
      <c r="G621" s="117">
        <f>($E621*$F621)*0.0025</f>
        <v>20.875</v>
      </c>
      <c r="H621" s="117">
        <f t="shared" si="19"/>
        <v>1.4612500000000002</v>
      </c>
      <c r="I621" s="38">
        <f t="shared" si="20"/>
        <v>8327.66375</v>
      </c>
    </row>
    <row r="622" spans="3:10" ht="11.25">
      <c r="C622" s="114" t="s">
        <v>464</v>
      </c>
      <c r="D622" s="115" t="s">
        <v>375</v>
      </c>
      <c r="E622" s="116">
        <v>1000</v>
      </c>
      <c r="F622" s="117">
        <v>8.2</v>
      </c>
      <c r="G622" s="117">
        <f>($E622*$F622)*0.0025</f>
        <v>20.5</v>
      </c>
      <c r="H622" s="117">
        <f t="shared" si="19"/>
        <v>1.435</v>
      </c>
      <c r="I622" s="38">
        <f t="shared" si="20"/>
        <v>-8221.935</v>
      </c>
      <c r="J622" s="10"/>
    </row>
    <row r="623" spans="3:10" ht="11.25">
      <c r="C623" s="114" t="s">
        <v>429</v>
      </c>
      <c r="D623" s="115" t="s">
        <v>374</v>
      </c>
      <c r="E623" s="116">
        <v>600</v>
      </c>
      <c r="F623" s="117">
        <v>44.5</v>
      </c>
      <c r="G623" s="117">
        <f>($E623*$F623)*0.0025</f>
        <v>66.75</v>
      </c>
      <c r="H623" s="117">
        <f t="shared" si="19"/>
        <v>4.6725</v>
      </c>
      <c r="I623" s="38">
        <f t="shared" si="20"/>
        <v>26628.5775</v>
      </c>
      <c r="J623" s="11">
        <f>SUM(I623,I618:I619)</f>
        <v>146.5774999999985</v>
      </c>
    </row>
    <row r="624" spans="1:9" ht="12" thickBot="1">
      <c r="A624" s="6"/>
      <c r="B624" s="42"/>
      <c r="C624" s="6"/>
      <c r="D624" s="7"/>
      <c r="E624" s="43"/>
      <c r="F624" s="8"/>
      <c r="G624" s="8"/>
      <c r="H624" s="14" t="s">
        <v>34</v>
      </c>
      <c r="I624" s="14">
        <f>SUM(I621:I623)</f>
        <v>26734.30625</v>
      </c>
    </row>
    <row r="625" spans="1:9" ht="11.25">
      <c r="A625" s="3" t="s">
        <v>379</v>
      </c>
      <c r="B625" s="37">
        <v>37938</v>
      </c>
      <c r="C625" s="114" t="s">
        <v>454</v>
      </c>
      <c r="D625" s="115" t="s">
        <v>375</v>
      </c>
      <c r="E625" s="116">
        <v>500</v>
      </c>
      <c r="F625" s="117">
        <v>82</v>
      </c>
      <c r="G625" s="117">
        <f>($E625*$F625)*0.0025</f>
        <v>102.5</v>
      </c>
      <c r="H625" s="117">
        <f t="shared" si="19"/>
        <v>7.175000000000001</v>
      </c>
      <c r="I625" s="38">
        <f t="shared" si="20"/>
        <v>-41109.675</v>
      </c>
    </row>
    <row r="626" spans="3:9" ht="11.25">
      <c r="C626" s="114" t="s">
        <v>437</v>
      </c>
      <c r="D626" s="115" t="s">
        <v>374</v>
      </c>
      <c r="E626" s="116">
        <v>2500</v>
      </c>
      <c r="F626" s="117">
        <v>4.46</v>
      </c>
      <c r="G626" s="117">
        <f>($E626*$F626)*0.0025</f>
        <v>27.875</v>
      </c>
      <c r="H626" s="117">
        <f t="shared" si="19"/>
        <v>1.9512500000000002</v>
      </c>
      <c r="I626" s="38">
        <f t="shared" si="20"/>
        <v>11120.17375</v>
      </c>
    </row>
    <row r="627" spans="1:9" ht="12" thickBot="1">
      <c r="A627" s="6"/>
      <c r="B627" s="42"/>
      <c r="C627" s="6"/>
      <c r="D627" s="7"/>
      <c r="E627" s="43"/>
      <c r="F627" s="8"/>
      <c r="G627" s="8"/>
      <c r="H627" s="13" t="s">
        <v>14</v>
      </c>
      <c r="I627" s="13">
        <f>SUM(I625:I626)</f>
        <v>-29989.50125</v>
      </c>
    </row>
    <row r="628" spans="1:9" ht="11.25">
      <c r="A628" s="3" t="s">
        <v>381</v>
      </c>
      <c r="B628" s="37">
        <v>37939</v>
      </c>
      <c r="C628" s="114" t="s">
        <v>472</v>
      </c>
      <c r="D628" s="115" t="s">
        <v>375</v>
      </c>
      <c r="E628" s="116">
        <v>1000</v>
      </c>
      <c r="F628" s="117">
        <v>12.9</v>
      </c>
      <c r="G628" s="117">
        <f aca="true" t="shared" si="22" ref="G628:G647">($E628*$F628)*0.0025</f>
        <v>32.25</v>
      </c>
      <c r="H628" s="117">
        <f t="shared" si="19"/>
        <v>2.2575000000000003</v>
      </c>
      <c r="I628" s="38">
        <f t="shared" si="20"/>
        <v>-12934.5075</v>
      </c>
    </row>
    <row r="629" spans="3:9" ht="11.25">
      <c r="C629" s="114" t="s">
        <v>454</v>
      </c>
      <c r="D629" s="115" t="s">
        <v>375</v>
      </c>
      <c r="E629" s="116">
        <v>500</v>
      </c>
      <c r="F629" s="117">
        <v>75.5</v>
      </c>
      <c r="G629" s="117">
        <f t="shared" si="22"/>
        <v>94.375</v>
      </c>
      <c r="H629" s="117">
        <f t="shared" si="19"/>
        <v>6.606250000000001</v>
      </c>
      <c r="I629" s="38">
        <f t="shared" si="20"/>
        <v>-37850.98125</v>
      </c>
    </row>
    <row r="630" spans="3:9" ht="11.25">
      <c r="C630" s="114" t="s">
        <v>454</v>
      </c>
      <c r="D630" s="115" t="s">
        <v>374</v>
      </c>
      <c r="E630" s="116">
        <v>500</v>
      </c>
      <c r="F630" s="117">
        <v>80</v>
      </c>
      <c r="G630" s="117">
        <f t="shared" si="22"/>
        <v>100</v>
      </c>
      <c r="H630" s="117">
        <f t="shared" si="19"/>
        <v>7.000000000000001</v>
      </c>
      <c r="I630" s="38">
        <f t="shared" si="20"/>
        <v>39893</v>
      </c>
    </row>
    <row r="631" spans="3:9" ht="11.25">
      <c r="C631" s="114" t="s">
        <v>454</v>
      </c>
      <c r="D631" s="115" t="s">
        <v>374</v>
      </c>
      <c r="E631" s="116">
        <v>500</v>
      </c>
      <c r="F631" s="117">
        <v>77</v>
      </c>
      <c r="G631" s="117">
        <f t="shared" si="22"/>
        <v>96.25</v>
      </c>
      <c r="H631" s="117">
        <f t="shared" si="19"/>
        <v>6.737500000000001</v>
      </c>
      <c r="I631" s="38">
        <f t="shared" si="20"/>
        <v>38397.0125</v>
      </c>
    </row>
    <row r="632" spans="3:9" ht="11.25">
      <c r="C632" s="114" t="s">
        <v>464</v>
      </c>
      <c r="D632" s="115" t="s">
        <v>374</v>
      </c>
      <c r="E632" s="116">
        <v>2000</v>
      </c>
      <c r="F632" s="117">
        <v>7.85</v>
      </c>
      <c r="G632" s="117">
        <f t="shared" si="22"/>
        <v>39.25</v>
      </c>
      <c r="H632" s="117">
        <f t="shared" si="19"/>
        <v>2.7475</v>
      </c>
      <c r="I632" s="38">
        <f t="shared" si="20"/>
        <v>15658.0025</v>
      </c>
    </row>
    <row r="633" spans="3:9" ht="11.25">
      <c r="C633" s="114" t="s">
        <v>464</v>
      </c>
      <c r="D633" s="115" t="s">
        <v>374</v>
      </c>
      <c r="E633" s="116">
        <v>3000</v>
      </c>
      <c r="F633" s="117">
        <v>8</v>
      </c>
      <c r="G633" s="117">
        <f t="shared" si="22"/>
        <v>60</v>
      </c>
      <c r="H633" s="117">
        <f t="shared" si="19"/>
        <v>4.2</v>
      </c>
      <c r="I633" s="38">
        <f t="shared" si="20"/>
        <v>23935.8</v>
      </c>
    </row>
    <row r="634" spans="1:9" ht="12" thickBot="1">
      <c r="A634" s="6"/>
      <c r="B634" s="42"/>
      <c r="C634" s="6"/>
      <c r="D634" s="7"/>
      <c r="E634" s="43"/>
      <c r="F634" s="8"/>
      <c r="G634" s="8"/>
      <c r="H634" s="14" t="s">
        <v>34</v>
      </c>
      <c r="I634" s="14">
        <f>SUM(I628:I633)</f>
        <v>67098.32625</v>
      </c>
    </row>
    <row r="635" spans="1:10" ht="11.25">
      <c r="A635" s="3" t="s">
        <v>373</v>
      </c>
      <c r="B635" s="37">
        <v>37942</v>
      </c>
      <c r="C635" s="114" t="s">
        <v>437</v>
      </c>
      <c r="D635" s="115" t="s">
        <v>374</v>
      </c>
      <c r="E635" s="116">
        <v>2500</v>
      </c>
      <c r="F635" s="117">
        <v>4.36</v>
      </c>
      <c r="G635" s="117">
        <f t="shared" si="22"/>
        <v>27.25</v>
      </c>
      <c r="H635" s="117">
        <f t="shared" si="19"/>
        <v>1.9075000000000002</v>
      </c>
      <c r="I635" s="38">
        <f t="shared" si="20"/>
        <v>10870.8425</v>
      </c>
      <c r="J635" s="18">
        <f>SUM(I635,I626,I592,)</f>
        <v>-1571.8462499999987</v>
      </c>
    </row>
    <row r="636" spans="3:9" ht="11.25">
      <c r="C636" s="114" t="s">
        <v>405</v>
      </c>
      <c r="D636" s="115" t="s">
        <v>375</v>
      </c>
      <c r="E636" s="116">
        <v>500</v>
      </c>
      <c r="F636" s="117">
        <v>46</v>
      </c>
      <c r="G636" s="117">
        <f t="shared" si="22"/>
        <v>57.5</v>
      </c>
      <c r="H636" s="117">
        <f t="shared" si="19"/>
        <v>4.025</v>
      </c>
      <c r="I636" s="38">
        <f t="shared" si="20"/>
        <v>-23061.525</v>
      </c>
    </row>
    <row r="637" spans="3:9" ht="11.25">
      <c r="C637" s="114" t="s">
        <v>405</v>
      </c>
      <c r="D637" s="115" t="s">
        <v>375</v>
      </c>
      <c r="E637" s="116">
        <v>200</v>
      </c>
      <c r="F637" s="117">
        <v>45.5</v>
      </c>
      <c r="G637" s="117">
        <f t="shared" si="22"/>
        <v>22.75</v>
      </c>
      <c r="H637" s="117">
        <f t="shared" si="19"/>
        <v>1.5925000000000002</v>
      </c>
      <c r="I637" s="38">
        <f t="shared" si="20"/>
        <v>-9124.3425</v>
      </c>
    </row>
    <row r="638" spans="3:9" ht="11.25">
      <c r="C638" s="114" t="s">
        <v>320</v>
      </c>
      <c r="D638" s="115" t="s">
        <v>375</v>
      </c>
      <c r="E638" s="116">
        <v>500</v>
      </c>
      <c r="F638" s="117">
        <v>55</v>
      </c>
      <c r="G638" s="117">
        <f t="shared" si="22"/>
        <v>68.75</v>
      </c>
      <c r="H638" s="117">
        <f t="shared" si="19"/>
        <v>4.812500000000001</v>
      </c>
      <c r="I638" s="38">
        <f t="shared" si="20"/>
        <v>-27573.5625</v>
      </c>
    </row>
    <row r="639" spans="3:9" ht="11.25">
      <c r="C639" s="114" t="s">
        <v>472</v>
      </c>
      <c r="D639" s="115" t="s">
        <v>374</v>
      </c>
      <c r="E639" s="116">
        <v>1000</v>
      </c>
      <c r="F639" s="117">
        <v>11.5</v>
      </c>
      <c r="G639" s="117">
        <f t="shared" si="22"/>
        <v>28.75</v>
      </c>
      <c r="H639" s="117">
        <f t="shared" si="19"/>
        <v>2.0125</v>
      </c>
      <c r="I639" s="38">
        <f t="shared" si="20"/>
        <v>11469.2375</v>
      </c>
    </row>
    <row r="640" spans="3:10" ht="11.25">
      <c r="C640" s="114" t="s">
        <v>473</v>
      </c>
      <c r="D640" s="115" t="s">
        <v>374</v>
      </c>
      <c r="E640" s="116">
        <v>4000</v>
      </c>
      <c r="F640" s="117">
        <v>4.92</v>
      </c>
      <c r="G640" s="117">
        <f t="shared" si="22"/>
        <v>49.2</v>
      </c>
      <c r="H640" s="117">
        <f t="shared" si="19"/>
        <v>3.4440000000000004</v>
      </c>
      <c r="I640" s="38">
        <f t="shared" si="20"/>
        <v>19627.356</v>
      </c>
      <c r="J640" s="18">
        <f>SUM(I640,I616)</f>
        <v>-1829.8889999999992</v>
      </c>
    </row>
    <row r="641" spans="1:9" ht="12" thickBot="1">
      <c r="A641" s="6"/>
      <c r="B641" s="42"/>
      <c r="C641" s="6"/>
      <c r="D641" s="7"/>
      <c r="E641" s="43"/>
      <c r="F641" s="8"/>
      <c r="G641" s="8"/>
      <c r="H641" s="13" t="s">
        <v>14</v>
      </c>
      <c r="I641" s="13">
        <f>SUM(I635:I640)</f>
        <v>-17791.994000000006</v>
      </c>
    </row>
    <row r="642" spans="1:9" ht="11.25">
      <c r="A642" s="3" t="s">
        <v>402</v>
      </c>
      <c r="B642" s="37">
        <v>37943</v>
      </c>
      <c r="C642" s="114" t="s">
        <v>405</v>
      </c>
      <c r="D642" s="115" t="s">
        <v>375</v>
      </c>
      <c r="E642" s="116">
        <v>500</v>
      </c>
      <c r="F642" s="117">
        <v>44</v>
      </c>
      <c r="G642" s="117">
        <f t="shared" si="22"/>
        <v>55</v>
      </c>
      <c r="H642" s="117">
        <f t="shared" si="19"/>
        <v>3.8500000000000005</v>
      </c>
      <c r="I642" s="38">
        <f t="shared" si="20"/>
        <v>-22058.85</v>
      </c>
    </row>
    <row r="643" spans="3:9" ht="11.25">
      <c r="C643" s="114" t="s">
        <v>476</v>
      </c>
      <c r="D643" s="115" t="s">
        <v>375</v>
      </c>
      <c r="E643" s="116">
        <v>11000</v>
      </c>
      <c r="F643" s="117">
        <v>1.8436367</v>
      </c>
      <c r="G643" s="117">
        <f t="shared" si="22"/>
        <v>50.70000925</v>
      </c>
      <c r="H643" s="117">
        <f t="shared" si="19"/>
        <v>3.5490006475</v>
      </c>
      <c r="I643" s="38">
        <f t="shared" si="20"/>
        <v>-20334.2527098975</v>
      </c>
    </row>
    <row r="644" spans="3:10" ht="11.25">
      <c r="C644" s="114" t="s">
        <v>476</v>
      </c>
      <c r="D644" s="115" t="s">
        <v>374</v>
      </c>
      <c r="E644" s="116">
        <v>11000</v>
      </c>
      <c r="F644" s="117">
        <v>1.754545</v>
      </c>
      <c r="G644" s="117">
        <f t="shared" si="22"/>
        <v>48.249987499999996</v>
      </c>
      <c r="H644" s="117">
        <f t="shared" si="19"/>
        <v>3.377499125</v>
      </c>
      <c r="I644" s="38">
        <f t="shared" si="20"/>
        <v>19248.367513375</v>
      </c>
      <c r="J644" s="18">
        <f>SUM(I643:I644)</f>
        <v>-1085.8851965225003</v>
      </c>
    </row>
    <row r="645" spans="3:10" ht="11.25">
      <c r="C645" s="114" t="s">
        <v>464</v>
      </c>
      <c r="D645" s="115" t="s">
        <v>374</v>
      </c>
      <c r="E645" s="116">
        <v>2000</v>
      </c>
      <c r="F645" s="117">
        <v>7.3</v>
      </c>
      <c r="G645" s="117">
        <f t="shared" si="22"/>
        <v>36.5</v>
      </c>
      <c r="H645" s="117">
        <f t="shared" si="19"/>
        <v>2.555</v>
      </c>
      <c r="I645" s="38">
        <f t="shared" si="20"/>
        <v>14560.945</v>
      </c>
      <c r="J645" s="134"/>
    </row>
    <row r="646" spans="3:9" ht="11.25">
      <c r="C646" s="114" t="s">
        <v>320</v>
      </c>
      <c r="D646" s="115" t="s">
        <v>375</v>
      </c>
      <c r="E646" s="116">
        <v>1200</v>
      </c>
      <c r="F646" s="117">
        <v>54.375008</v>
      </c>
      <c r="G646" s="117">
        <f t="shared" si="22"/>
        <v>163.12502400000002</v>
      </c>
      <c r="H646" s="117">
        <f t="shared" si="19"/>
        <v>11.418751680000003</v>
      </c>
      <c r="I646" s="38">
        <f t="shared" si="20"/>
        <v>-65424.55337568001</v>
      </c>
    </row>
    <row r="647" spans="3:10" ht="11.25">
      <c r="C647" s="114" t="s">
        <v>320</v>
      </c>
      <c r="D647" s="115" t="s">
        <v>374</v>
      </c>
      <c r="E647" s="116">
        <v>1700</v>
      </c>
      <c r="F647" s="117">
        <v>56</v>
      </c>
      <c r="G647" s="117">
        <f t="shared" si="22"/>
        <v>238</v>
      </c>
      <c r="H647" s="117">
        <f t="shared" si="19"/>
        <v>16.66</v>
      </c>
      <c r="I647" s="38">
        <f t="shared" si="20"/>
        <v>94945.34</v>
      </c>
      <c r="J647" s="11">
        <f>SUM(I646:I647,I638)</f>
        <v>1947.2241243199896</v>
      </c>
    </row>
    <row r="648" spans="1:9" ht="12" thickBot="1">
      <c r="A648" s="6"/>
      <c r="B648" s="42"/>
      <c r="C648" s="6"/>
      <c r="D648" s="7"/>
      <c r="E648" s="43"/>
      <c r="F648" s="8"/>
      <c r="G648" s="8"/>
      <c r="H648" s="14" t="s">
        <v>34</v>
      </c>
      <c r="I648" s="14">
        <f>SUM(I642:I647)</f>
        <v>20936.99642779748</v>
      </c>
    </row>
    <row r="649" spans="1:9" ht="11.25">
      <c r="A649" s="3" t="s">
        <v>377</v>
      </c>
      <c r="B649" s="37">
        <v>37944</v>
      </c>
      <c r="C649" s="114" t="s">
        <v>454</v>
      </c>
      <c r="D649" s="115" t="s">
        <v>375</v>
      </c>
      <c r="E649" s="116">
        <v>500</v>
      </c>
      <c r="F649" s="117">
        <v>76</v>
      </c>
      <c r="G649" s="117">
        <f>(($E649*$F649)*0.0025)</f>
        <v>95</v>
      </c>
      <c r="H649" s="117">
        <f>$G649*0.07</f>
        <v>6.65</v>
      </c>
      <c r="I649" s="38">
        <f>IF($D649="B",(($E649*$F649)+$G649+$H649)*(-1),IF($D649="S",($E649*$F649)-$G649-$H649))</f>
        <v>-38101.65</v>
      </c>
    </row>
    <row r="650" spans="3:9" ht="11.25">
      <c r="C650" s="114" t="s">
        <v>320</v>
      </c>
      <c r="D650" s="115" t="s">
        <v>375</v>
      </c>
      <c r="E650" s="116">
        <v>1300</v>
      </c>
      <c r="F650" s="117">
        <v>54.53847</v>
      </c>
      <c r="G650" s="117">
        <f>(($E650*$F650)*0.0025)</f>
        <v>177.2500275</v>
      </c>
      <c r="H650" s="117">
        <f>$G650*0.07</f>
        <v>12.407501925</v>
      </c>
      <c r="I650" s="38">
        <f>IF($D650="B",(($E650*$F650)+$G650+$H650)*(-1),IF($D650="S",($E650*$F650)-$G650-$H650))</f>
        <v>-71089.668529425</v>
      </c>
    </row>
    <row r="651" spans="3:9" ht="11.25">
      <c r="C651" s="114" t="s">
        <v>472</v>
      </c>
      <c r="D651" s="115" t="s">
        <v>374</v>
      </c>
      <c r="E651" s="116">
        <v>1500</v>
      </c>
      <c r="F651" s="117">
        <v>11</v>
      </c>
      <c r="G651" s="117">
        <f>(($E651*$F651)*0.0025)</f>
        <v>41.25</v>
      </c>
      <c r="H651" s="117">
        <f>$G651*0.07</f>
        <v>2.8875</v>
      </c>
      <c r="I651" s="38">
        <f>IF($D651="B",(($E651*$F651)+$G651+$H651)*(-1),IF($D651="S",($E651*$F651)-$G651-$H651))</f>
        <v>16455.8625</v>
      </c>
    </row>
    <row r="652" spans="3:9" ht="11.25">
      <c r="C652" s="114" t="s">
        <v>464</v>
      </c>
      <c r="D652" s="115" t="s">
        <v>374</v>
      </c>
      <c r="E652" s="116">
        <v>2000</v>
      </c>
      <c r="F652" s="117">
        <v>7.45</v>
      </c>
      <c r="G652" s="117">
        <f>(($E652*$F652)*0.0025)</f>
        <v>37.25</v>
      </c>
      <c r="H652" s="117">
        <f>$G652*0.07</f>
        <v>2.6075000000000004</v>
      </c>
      <c r="I652" s="38">
        <f>IF($D652="B",(($E652*$F652)+$G652+$H652)*(-1),IF($D652="S",($E652*$F652)-$G652-$H652))</f>
        <v>14860.1425</v>
      </c>
    </row>
    <row r="653" spans="1:9" ht="12" thickBot="1">
      <c r="A653" s="6"/>
      <c r="B653" s="42"/>
      <c r="C653" s="6"/>
      <c r="D653" s="7"/>
      <c r="E653" s="43"/>
      <c r="F653" s="8"/>
      <c r="G653" s="8"/>
      <c r="H653" s="13" t="s">
        <v>14</v>
      </c>
      <c r="I653" s="13">
        <f>SUM(I649:I652)</f>
        <v>-77875.31352942501</v>
      </c>
    </row>
    <row r="654" spans="1:9" ht="11.25">
      <c r="A654" s="3" t="s">
        <v>379</v>
      </c>
      <c r="B654" s="37">
        <v>37945</v>
      </c>
      <c r="C654" s="114" t="s">
        <v>320</v>
      </c>
      <c r="D654" s="115" t="s">
        <v>375</v>
      </c>
      <c r="E654" s="116">
        <v>1000</v>
      </c>
      <c r="F654" s="117">
        <v>5.35</v>
      </c>
      <c r="G654" s="117">
        <f>(($E654*$F654)*0.0025)+18.1884218289086</f>
        <v>31.5634218289086</v>
      </c>
      <c r="H654" s="117">
        <f>$G654*0.07</f>
        <v>2.2094395280236023</v>
      </c>
      <c r="I654" s="38">
        <f>IF($D654="B",(($E654*$F654)+$G654+$H654)*(-1),IF($D654="S",($E654*$F654)-$G654-$H654))</f>
        <v>-5383.7728613569325</v>
      </c>
    </row>
    <row r="655" spans="3:10" ht="11.25">
      <c r="C655" s="114" t="s">
        <v>464</v>
      </c>
      <c r="D655" s="115" t="s">
        <v>374</v>
      </c>
      <c r="E655" s="116">
        <v>1600</v>
      </c>
      <c r="F655" s="117">
        <v>7.25</v>
      </c>
      <c r="G655" s="117">
        <f>(($E655*$F655)*0.0025)+39.4365781710914</f>
        <v>68.4365781710914</v>
      </c>
      <c r="H655" s="117">
        <f>$G655*0.07</f>
        <v>4.790560471976399</v>
      </c>
      <c r="I655" s="38">
        <f>IF($D655="B",(($E655*$F655)+$G655+$H655)*(-1),IF($D655="S",($E655*$F655)-$G655-$H655))</f>
        <v>11526.772861356932</v>
      </c>
      <c r="J655" s="18">
        <f>SUM(I655,I652,I645,I632:I633,I621:I622,I614:I615,I605,I601:I603,I583,I568:I569,I563,)</f>
        <v>-4422.12488864308</v>
      </c>
    </row>
    <row r="656" spans="1:9" ht="12" thickBot="1">
      <c r="A656" s="6"/>
      <c r="B656" s="42"/>
      <c r="C656" s="6"/>
      <c r="D656" s="7"/>
      <c r="E656" s="43"/>
      <c r="F656" s="8"/>
      <c r="G656" s="8"/>
      <c r="H656" s="14" t="s">
        <v>34</v>
      </c>
      <c r="I656" s="14">
        <f>SUM(I654:I655)</f>
        <v>6143</v>
      </c>
    </row>
    <row r="657" spans="1:11" ht="11.25">
      <c r="A657" s="3" t="s">
        <v>381</v>
      </c>
      <c r="B657" s="37">
        <v>37946</v>
      </c>
      <c r="C657" s="114" t="s">
        <v>405</v>
      </c>
      <c r="D657" s="115" t="s">
        <v>374</v>
      </c>
      <c r="E657" s="116">
        <v>500</v>
      </c>
      <c r="F657" s="117">
        <v>40.5</v>
      </c>
      <c r="G657" s="117">
        <f>(($E657*$F657)*0.0025)+5.54698335644938</f>
        <v>56.17198335644938</v>
      </c>
      <c r="H657" s="117">
        <f>$G657*0.07</f>
        <v>3.9320388349514572</v>
      </c>
      <c r="I657" s="38">
        <f>IF($D657="B",(($E657*$F657)+$G657+$H657)*(-1),IF($D657="S",($E657*$F657)-$G657-$H657))</f>
        <v>20189.8959778086</v>
      </c>
      <c r="K657" s="10"/>
    </row>
    <row r="658" spans="3:11" ht="11.25">
      <c r="C658" s="114" t="s">
        <v>405</v>
      </c>
      <c r="D658" s="115" t="s">
        <v>375</v>
      </c>
      <c r="E658" s="116">
        <v>400</v>
      </c>
      <c r="F658" s="117">
        <v>39.5</v>
      </c>
      <c r="G658" s="117">
        <f>(($E658*$F658)*0.0025)+4.32801664355062</f>
        <v>43.82801664355062</v>
      </c>
      <c r="H658" s="117">
        <f>$G658*0.07</f>
        <v>3.0679611650485437</v>
      </c>
      <c r="I658" s="117">
        <f>IF($D658="B",(($E658*$F658)+$G658+$H658)*(-1),IF($D658="S",($E658*$F658)-$G658-$H658))</f>
        <v>-15846.8959778086</v>
      </c>
      <c r="K658" s="10"/>
    </row>
    <row r="659" spans="1:9" ht="12" thickBot="1">
      <c r="A659" s="6"/>
      <c r="B659" s="42"/>
      <c r="C659" s="6"/>
      <c r="D659" s="7"/>
      <c r="E659" s="43"/>
      <c r="F659" s="8"/>
      <c r="G659" s="8"/>
      <c r="H659" s="14" t="s">
        <v>34</v>
      </c>
      <c r="I659" s="14">
        <f>SUM(I657:I658)</f>
        <v>4343</v>
      </c>
    </row>
    <row r="660" spans="1:9" ht="11.25">
      <c r="A660" s="3" t="s">
        <v>373</v>
      </c>
      <c r="B660" s="37">
        <v>37949</v>
      </c>
      <c r="C660" s="114" t="s">
        <v>454</v>
      </c>
      <c r="D660" s="115" t="s">
        <v>374</v>
      </c>
      <c r="E660" s="116">
        <v>500</v>
      </c>
      <c r="F660" s="117">
        <v>78.5</v>
      </c>
      <c r="G660" s="117">
        <v>100</v>
      </c>
      <c r="H660" s="117">
        <f>$G660*0.07</f>
        <v>7.000000000000001</v>
      </c>
      <c r="I660" s="38">
        <f>IF($D660="B",(($E660*$F660)+$G660+$H660)*(-1),IF($D660="S",($E660*$F660)-$G660-$H660))</f>
        <v>39143</v>
      </c>
    </row>
    <row r="661" spans="1:9" ht="12" thickBot="1">
      <c r="A661" s="6"/>
      <c r="B661" s="42"/>
      <c r="C661" s="6"/>
      <c r="D661" s="7"/>
      <c r="E661" s="43"/>
      <c r="F661" s="8"/>
      <c r="G661" s="8"/>
      <c r="H661" s="14" t="s">
        <v>34</v>
      </c>
      <c r="I661" s="14">
        <f>I660</f>
        <v>39143</v>
      </c>
    </row>
    <row r="662" spans="1:9" ht="11.25">
      <c r="A662" s="3" t="s">
        <v>377</v>
      </c>
      <c r="B662" s="37">
        <v>37951</v>
      </c>
      <c r="C662" s="114" t="s">
        <v>320</v>
      </c>
      <c r="D662" s="115" t="s">
        <v>374</v>
      </c>
      <c r="E662" s="116">
        <v>10000</v>
      </c>
      <c r="F662" s="117">
        <v>5.8</v>
      </c>
      <c r="G662" s="117">
        <f>(($E662*$F662)*0.0025)</f>
        <v>145</v>
      </c>
      <c r="H662" s="117">
        <f>$G662*0.07</f>
        <v>10.15</v>
      </c>
      <c r="I662" s="38">
        <f>IF($D662="B",(($E662*$F662)+$G662+$H662)*(-1),IF($D662="S",($E662*$F662)-$G662-$H662))</f>
        <v>57844.85</v>
      </c>
    </row>
    <row r="663" spans="1:9" ht="12" thickBot="1">
      <c r="A663" s="6"/>
      <c r="B663" s="42"/>
      <c r="C663" s="6"/>
      <c r="D663" s="7"/>
      <c r="E663" s="43"/>
      <c r="F663" s="8"/>
      <c r="G663" s="8"/>
      <c r="H663" s="14" t="s">
        <v>34</v>
      </c>
      <c r="I663" s="14">
        <f>I662</f>
        <v>57844.85</v>
      </c>
    </row>
    <row r="664" spans="1:10" ht="11.25">
      <c r="A664" s="3" t="s">
        <v>379</v>
      </c>
      <c r="B664" s="37">
        <v>37952</v>
      </c>
      <c r="C664" s="114" t="s">
        <v>320</v>
      </c>
      <c r="D664" s="115" t="s">
        <v>374</v>
      </c>
      <c r="E664" s="116">
        <v>4000</v>
      </c>
      <c r="F664" s="117">
        <v>5.7</v>
      </c>
      <c r="G664" s="117">
        <f>(($E664*$F664)*0.0025)+0.35</f>
        <v>57.35</v>
      </c>
      <c r="H664" s="117">
        <f>$G664*0.07</f>
        <v>4.014500000000001</v>
      </c>
      <c r="I664" s="38">
        <f>IF($D664="B",(($E664*$F664)+$G664+$H664)*(-1),IF($D664="S",($E664*$F664)-$G664-$H664))</f>
        <v>22738.6355</v>
      </c>
      <c r="J664" s="11">
        <f>SUM(I664,I662,I654,I650,)</f>
        <v>4110.044109218055</v>
      </c>
    </row>
    <row r="665" spans="3:9" ht="11.25">
      <c r="C665" s="114" t="s">
        <v>320</v>
      </c>
      <c r="D665" s="115" t="s">
        <v>375</v>
      </c>
      <c r="E665" s="116">
        <v>3000</v>
      </c>
      <c r="F665" s="117">
        <v>5.65</v>
      </c>
      <c r="G665" s="117">
        <f>(($E665*$F665)*0.0025)+0.275</f>
        <v>42.65</v>
      </c>
      <c r="H665" s="117">
        <f>$G665*0.07</f>
        <v>2.9855</v>
      </c>
      <c r="I665" s="38">
        <f>IF($D665="B",(($E665*$F665)+$G665+$H665)*(-1),IF($D665="S",($E665*$F665)-$G665-$H665))</f>
        <v>-16995.6355</v>
      </c>
    </row>
    <row r="666" spans="1:9" ht="12" thickBot="1">
      <c r="A666" s="6"/>
      <c r="B666" s="42"/>
      <c r="C666" s="6"/>
      <c r="D666" s="7"/>
      <c r="E666" s="43"/>
      <c r="F666" s="8"/>
      <c r="G666" s="8"/>
      <c r="H666" s="14" t="s">
        <v>34</v>
      </c>
      <c r="I666" s="14">
        <f>SUM(I664:I665)</f>
        <v>5743</v>
      </c>
    </row>
    <row r="667" spans="1:9" ht="11.25">
      <c r="A667" s="3" t="s">
        <v>381</v>
      </c>
      <c r="B667" s="37">
        <v>37953</v>
      </c>
      <c r="C667" s="114" t="s">
        <v>320</v>
      </c>
      <c r="D667" s="115" t="s">
        <v>375</v>
      </c>
      <c r="E667" s="116">
        <v>3000</v>
      </c>
      <c r="F667" s="117">
        <v>5.7</v>
      </c>
      <c r="G667" s="117">
        <f>(($E667*$F667)*0.0025)</f>
        <v>42.75</v>
      </c>
      <c r="H667" s="117">
        <f>$G667*0.07</f>
        <v>2.9925</v>
      </c>
      <c r="I667" s="38">
        <f>IF($D667="B",(($E667*$F667)+$G667+$H667)*(-1),IF($D667="S",($E667*$F667)-$G667-$H667))</f>
        <v>-17145.7425</v>
      </c>
    </row>
    <row r="668" spans="3:10" ht="11.25">
      <c r="C668" s="114" t="s">
        <v>320</v>
      </c>
      <c r="D668" s="115" t="s">
        <v>374</v>
      </c>
      <c r="E668" s="116">
        <v>6000</v>
      </c>
      <c r="F668" s="117">
        <v>5.8</v>
      </c>
      <c r="G668" s="117">
        <f>(($E668*$F668)*0.0025)</f>
        <v>87</v>
      </c>
      <c r="H668" s="117">
        <f>$G668*0.07</f>
        <v>6.090000000000001</v>
      </c>
      <c r="I668" s="38">
        <f>IF($D668="B",(($E668*$F668)+$G668+$H668)*(-1),IF($D668="S",($E668*$F668)-$G668-$H668))</f>
        <v>34706.91</v>
      </c>
      <c r="J668" s="11">
        <f>SUM(I667:I668,I665)</f>
        <v>565.5320000000029</v>
      </c>
    </row>
    <row r="669" spans="1:9" ht="12" thickBot="1">
      <c r="A669" s="6"/>
      <c r="B669" s="42"/>
      <c r="C669" s="6"/>
      <c r="D669" s="7"/>
      <c r="E669" s="43"/>
      <c r="F669" s="8"/>
      <c r="G669" s="8"/>
      <c r="H669" s="14" t="s">
        <v>34</v>
      </c>
      <c r="I669" s="14">
        <f>SUM(I667:I668)</f>
        <v>17561.167500000003</v>
      </c>
    </row>
    <row r="670" spans="1:10" ht="11.25">
      <c r="A670" s="3" t="s">
        <v>373</v>
      </c>
      <c r="B670" s="37">
        <v>37956</v>
      </c>
      <c r="C670" s="114" t="s">
        <v>454</v>
      </c>
      <c r="D670" s="115" t="s">
        <v>374</v>
      </c>
      <c r="E670" s="116">
        <v>1000</v>
      </c>
      <c r="F670" s="117">
        <v>88</v>
      </c>
      <c r="G670" s="117">
        <f>(($E670*$F670)*0.0021)</f>
        <v>184.79999999999998</v>
      </c>
      <c r="H670" s="117">
        <f>$G670*0.07</f>
        <v>12.936</v>
      </c>
      <c r="I670" s="38">
        <f>IF($D670="B",(($E670*$F670)+$G670+$H670)*(-1),IF($D670="S",($E670*$F670)-$G670-$H670))</f>
        <v>87802.264</v>
      </c>
      <c r="J670" s="11"/>
    </row>
    <row r="671" spans="3:9" ht="11.25">
      <c r="C671" s="114" t="s">
        <v>454</v>
      </c>
      <c r="D671" s="115" t="s">
        <v>375</v>
      </c>
      <c r="E671" s="116">
        <v>1000</v>
      </c>
      <c r="F671" s="117">
        <v>87</v>
      </c>
      <c r="G671" s="117">
        <f>(($E671*$F671)*0.0025)</f>
        <v>217.5</v>
      </c>
      <c r="H671" s="117">
        <f>$G671*0.07</f>
        <v>15.225000000000001</v>
      </c>
      <c r="I671" s="38">
        <f>IF($D671="B",(($E671*$F671)+$G671+$H671)*(-1),IF($D671="S",($E671*$F671)-$G671-$H671))</f>
        <v>-87232.725</v>
      </c>
    </row>
    <row r="672" spans="3:10" ht="11.25">
      <c r="C672" s="114" t="s">
        <v>454</v>
      </c>
      <c r="D672" s="115" t="s">
        <v>374</v>
      </c>
      <c r="E672" s="116">
        <v>1000</v>
      </c>
      <c r="F672" s="117">
        <v>89.5</v>
      </c>
      <c r="G672" s="117">
        <f>(($E672*$F672)*0.0025)</f>
        <v>223.75</v>
      </c>
      <c r="H672" s="117">
        <f>$G672*0.07</f>
        <v>15.662500000000001</v>
      </c>
      <c r="I672" s="38">
        <f>IF($D672="B",(($E672*$F672)+$G672+$H672)*(-1),IF($D672="S",($E672*$F672)-$G672-$H672))</f>
        <v>89260.5875</v>
      </c>
      <c r="J672" s="135">
        <f>SUM(I670,I660,I649,I629:I631,I625,I577:I578,I571,I565,I556:I557,I548,I545,I542:I543,I671:I672)</f>
        <v>34719.07374999998</v>
      </c>
    </row>
    <row r="673" spans="3:10" ht="11.25">
      <c r="C673" s="114" t="s">
        <v>483</v>
      </c>
      <c r="D673" s="115" t="s">
        <v>375</v>
      </c>
      <c r="E673" s="116">
        <v>1400</v>
      </c>
      <c r="F673" s="117">
        <v>11</v>
      </c>
      <c r="G673" s="117">
        <v>0</v>
      </c>
      <c r="H673" s="117">
        <f>$G673*0.07</f>
        <v>0</v>
      </c>
      <c r="I673" s="38">
        <f>IF($D673="B",(($E673*$F673)+$G673+$H673)*(-1),IF($D673="S",($E673*$F673)-$G673-$H673))</f>
        <v>-15400</v>
      </c>
      <c r="J673" s="135"/>
    </row>
    <row r="674" spans="1:9" ht="12" thickBot="1">
      <c r="A674" s="6"/>
      <c r="B674" s="42"/>
      <c r="C674" s="6"/>
      <c r="D674" s="7"/>
      <c r="E674" s="43"/>
      <c r="F674" s="8"/>
      <c r="G674" s="8"/>
      <c r="H674" s="14" t="s">
        <v>34</v>
      </c>
      <c r="I674" s="14">
        <f>SUM(I670:I673)</f>
        <v>74430.12649999998</v>
      </c>
    </row>
    <row r="675" spans="1:9" ht="11.25">
      <c r="A675" s="28" t="s">
        <v>402</v>
      </c>
      <c r="B675" s="126">
        <v>37957</v>
      </c>
      <c r="C675" s="119" t="s">
        <v>479</v>
      </c>
      <c r="D675" s="120" t="s">
        <v>375</v>
      </c>
      <c r="E675" s="121">
        <v>10000</v>
      </c>
      <c r="F675" s="122">
        <v>3.15</v>
      </c>
      <c r="G675" s="122">
        <v>100</v>
      </c>
      <c r="H675" s="122">
        <f>$G675*0.07</f>
        <v>7.000000000000001</v>
      </c>
      <c r="I675" s="122">
        <f>IF($D675="B",(($E675*$F675)+$G675+$H675)*(-1),IF($D675="S",($E675*$F675)-$G675-$H675))</f>
        <v>-31607</v>
      </c>
    </row>
    <row r="676" spans="1:9" ht="12" thickBot="1">
      <c r="A676" s="6"/>
      <c r="B676" s="42"/>
      <c r="C676" s="6"/>
      <c r="D676" s="7"/>
      <c r="E676" s="43"/>
      <c r="F676" s="8"/>
      <c r="G676" s="8"/>
      <c r="H676" s="13" t="s">
        <v>14</v>
      </c>
      <c r="I676" s="13">
        <f>I675</f>
        <v>-31607</v>
      </c>
    </row>
    <row r="677" spans="1:9" ht="11.25">
      <c r="A677" s="3" t="s">
        <v>377</v>
      </c>
      <c r="B677" s="37">
        <v>37958</v>
      </c>
      <c r="C677" s="114" t="s">
        <v>479</v>
      </c>
      <c r="D677" s="115" t="s">
        <v>375</v>
      </c>
      <c r="E677" s="116">
        <v>6000</v>
      </c>
      <c r="F677" s="117">
        <v>3.126667</v>
      </c>
      <c r="G677" s="122">
        <v>100</v>
      </c>
      <c r="H677" s="122">
        <f>$G677*0.07</f>
        <v>7.000000000000001</v>
      </c>
      <c r="I677" s="122">
        <f>IF($D677="B",(($E677*$F677)+$G677+$H677)*(-1),IF($D677="S",($E677*$F677)-$G677-$H677))</f>
        <v>-18867.002</v>
      </c>
    </row>
    <row r="678" spans="1:9" ht="12" thickBot="1">
      <c r="A678" s="6"/>
      <c r="B678" s="42"/>
      <c r="C678" s="6"/>
      <c r="D678" s="7"/>
      <c r="E678" s="43"/>
      <c r="F678" s="8"/>
      <c r="G678" s="8"/>
      <c r="H678" s="13" t="s">
        <v>14</v>
      </c>
      <c r="I678" s="13">
        <f>I677</f>
        <v>-18867.002</v>
      </c>
    </row>
    <row r="679" spans="1:10" ht="11.25">
      <c r="A679" s="3" t="s">
        <v>379</v>
      </c>
      <c r="B679" s="37">
        <v>37959</v>
      </c>
      <c r="C679" s="114" t="s">
        <v>479</v>
      </c>
      <c r="D679" s="115" t="s">
        <v>374</v>
      </c>
      <c r="E679" s="116">
        <v>16000</v>
      </c>
      <c r="F679" s="117">
        <v>3.06</v>
      </c>
      <c r="G679" s="117">
        <f>(($E679*$F679)*0.0025)</f>
        <v>122.4</v>
      </c>
      <c r="H679" s="117">
        <f>$G679*0.07</f>
        <v>8.568000000000001</v>
      </c>
      <c r="I679" s="38">
        <f>IF($D679="B",(($E679*$F679)+$G679+$H679)*(-1),IF($D679="S",($E679*$F679)-$G679-$H679))</f>
        <v>48829.032</v>
      </c>
      <c r="J679" s="18">
        <f>SUM(I679,I677,I675)</f>
        <v>-1644.9700000000012</v>
      </c>
    </row>
    <row r="680" spans="3:9" ht="11.25">
      <c r="C680" s="114" t="s">
        <v>480</v>
      </c>
      <c r="D680" s="115" t="s">
        <v>375</v>
      </c>
      <c r="E680" s="116">
        <v>4000</v>
      </c>
      <c r="F680" s="117">
        <v>7.05</v>
      </c>
      <c r="G680" s="117">
        <f>(($E680*$F680)*0.0025)</f>
        <v>70.5</v>
      </c>
      <c r="H680" s="117">
        <f>$G680*0.07</f>
        <v>4.9350000000000005</v>
      </c>
      <c r="I680" s="38">
        <f>IF($D680="B",(($E680*$F680)+$G680+$H680)*(-1),IF($D680="S",($E680*$F680)-$G680-$H680))</f>
        <v>-28275.435</v>
      </c>
    </row>
    <row r="681" spans="3:9" ht="11.25">
      <c r="C681" s="114" t="s">
        <v>481</v>
      </c>
      <c r="D681" s="115" t="s">
        <v>375</v>
      </c>
      <c r="E681" s="116">
        <v>500</v>
      </c>
      <c r="F681" s="117">
        <v>62.5</v>
      </c>
      <c r="G681" s="117">
        <f>(($E681*$F681)*0.0025)</f>
        <v>78.125</v>
      </c>
      <c r="H681" s="117">
        <f>$G681*0.07</f>
        <v>5.468750000000001</v>
      </c>
      <c r="I681" s="38">
        <f>IF($D681="B",(($E681*$F681)+$G681+$H681)*(-1),IF($D681="S",($E681*$F681)-$G681-$H681))</f>
        <v>-31333.59375</v>
      </c>
    </row>
    <row r="682" spans="1:9" ht="12" thickBot="1">
      <c r="A682" s="6"/>
      <c r="B682" s="42"/>
      <c r="C682" s="6"/>
      <c r="D682" s="7"/>
      <c r="E682" s="43"/>
      <c r="F682" s="8"/>
      <c r="G682" s="8"/>
      <c r="H682" s="13" t="s">
        <v>14</v>
      </c>
      <c r="I682" s="13">
        <f>SUM(I679:I681)</f>
        <v>-10779.996750000002</v>
      </c>
    </row>
    <row r="683" spans="1:10" ht="11.25">
      <c r="A683" s="3" t="s">
        <v>373</v>
      </c>
      <c r="B683" s="37">
        <v>37963</v>
      </c>
      <c r="C683" s="114" t="s">
        <v>480</v>
      </c>
      <c r="D683" s="115" t="s">
        <v>374</v>
      </c>
      <c r="E683" s="116">
        <v>4000</v>
      </c>
      <c r="F683" s="117">
        <v>7.15</v>
      </c>
      <c r="G683" s="117">
        <f aca="true" t="shared" si="23" ref="G683:G708">(($E683*$F683)*0.0025)</f>
        <v>71.5</v>
      </c>
      <c r="H683" s="117">
        <f aca="true" t="shared" si="24" ref="H683:H746">$G683*0.07</f>
        <v>5.005000000000001</v>
      </c>
      <c r="I683" s="38">
        <f aca="true" t="shared" si="25" ref="I683:I746">IF($D683="B",(($E683*$F683)+$G683+$H683)*(-1),IF($D683="S",($E683*$F683)-$G683-$H683))</f>
        <v>28523.495</v>
      </c>
      <c r="J683" s="11">
        <f>SUM(I683,I680)</f>
        <v>248.05999999999767</v>
      </c>
    </row>
    <row r="684" spans="3:9" ht="11.25">
      <c r="C684" s="114" t="s">
        <v>480</v>
      </c>
      <c r="D684" s="115" t="s">
        <v>375</v>
      </c>
      <c r="E684" s="116">
        <v>4000</v>
      </c>
      <c r="F684" s="117">
        <v>7.1</v>
      </c>
      <c r="G684" s="117">
        <f t="shared" si="23"/>
        <v>71</v>
      </c>
      <c r="H684" s="117">
        <f t="shared" si="24"/>
        <v>4.970000000000001</v>
      </c>
      <c r="I684" s="38">
        <f t="shared" si="25"/>
        <v>-28475.97</v>
      </c>
    </row>
    <row r="685" spans="3:9" ht="11.25">
      <c r="C685" s="114" t="s">
        <v>482</v>
      </c>
      <c r="D685" s="115" t="s">
        <v>375</v>
      </c>
      <c r="E685" s="116">
        <v>700</v>
      </c>
      <c r="F685" s="117">
        <v>52.5</v>
      </c>
      <c r="G685" s="117">
        <f t="shared" si="23"/>
        <v>91.875</v>
      </c>
      <c r="H685" s="117">
        <f t="shared" si="24"/>
        <v>6.43125</v>
      </c>
      <c r="I685" s="38">
        <f t="shared" si="25"/>
        <v>-36848.30625</v>
      </c>
    </row>
    <row r="686" spans="1:9" ht="12" thickBot="1">
      <c r="A686" s="6"/>
      <c r="B686" s="42"/>
      <c r="C686" s="6"/>
      <c r="D686" s="7"/>
      <c r="E686" s="43"/>
      <c r="F686" s="8"/>
      <c r="G686" s="8"/>
      <c r="H686" s="13" t="s">
        <v>14</v>
      </c>
      <c r="I686" s="13">
        <f>SUM(I683:I685)</f>
        <v>-36800.78125</v>
      </c>
    </row>
    <row r="687" spans="1:9" ht="11.25">
      <c r="A687" s="3" t="s">
        <v>402</v>
      </c>
      <c r="B687" s="37">
        <v>37964</v>
      </c>
      <c r="C687" s="114" t="s">
        <v>482</v>
      </c>
      <c r="D687" s="115" t="s">
        <v>375</v>
      </c>
      <c r="E687" s="116">
        <v>200</v>
      </c>
      <c r="F687" s="117">
        <v>53</v>
      </c>
      <c r="G687" s="117">
        <f t="shared" si="23"/>
        <v>26.5</v>
      </c>
      <c r="H687" s="117">
        <f t="shared" si="24"/>
        <v>1.8550000000000002</v>
      </c>
      <c r="I687" s="38">
        <f t="shared" si="25"/>
        <v>-10628.355</v>
      </c>
    </row>
    <row r="688" spans="3:9" ht="11.25">
      <c r="C688" s="114" t="s">
        <v>483</v>
      </c>
      <c r="D688" s="115" t="s">
        <v>375</v>
      </c>
      <c r="E688" s="116">
        <v>1000</v>
      </c>
      <c r="F688" s="117">
        <v>18.6</v>
      </c>
      <c r="G688" s="117">
        <f t="shared" si="23"/>
        <v>46.5</v>
      </c>
      <c r="H688" s="117">
        <f t="shared" si="24"/>
        <v>3.2550000000000003</v>
      </c>
      <c r="I688" s="38">
        <f t="shared" si="25"/>
        <v>-18649.755</v>
      </c>
    </row>
    <row r="689" spans="3:10" ht="11.25">
      <c r="C689" s="114" t="s">
        <v>483</v>
      </c>
      <c r="D689" s="115" t="s">
        <v>374</v>
      </c>
      <c r="E689" s="116">
        <v>2400</v>
      </c>
      <c r="F689" s="117">
        <v>19.59166</v>
      </c>
      <c r="G689" s="117">
        <f t="shared" si="23"/>
        <v>117.54996000000001</v>
      </c>
      <c r="H689" s="117">
        <f t="shared" si="24"/>
        <v>8.228497200000001</v>
      </c>
      <c r="I689" s="38">
        <f t="shared" si="25"/>
        <v>46894.20554280001</v>
      </c>
      <c r="J689" s="11">
        <f>SUM(I688:I689,I673)</f>
        <v>12844.450542800008</v>
      </c>
    </row>
    <row r="690" spans="1:9" ht="12" thickBot="1">
      <c r="A690" s="6"/>
      <c r="B690" s="42"/>
      <c r="C690" s="6"/>
      <c r="D690" s="7"/>
      <c r="E690" s="43"/>
      <c r="F690" s="8"/>
      <c r="G690" s="8"/>
      <c r="H690" s="14" t="s">
        <v>34</v>
      </c>
      <c r="I690" s="14">
        <f>SUM(I687:I689)</f>
        <v>17616.09554280001</v>
      </c>
    </row>
    <row r="691" spans="1:9" ht="11.25">
      <c r="A691" s="3" t="s">
        <v>379</v>
      </c>
      <c r="B691" s="37">
        <v>37966</v>
      </c>
      <c r="C691" s="114" t="s">
        <v>480</v>
      </c>
      <c r="D691" s="115" t="s">
        <v>375</v>
      </c>
      <c r="E691" s="116">
        <v>3000</v>
      </c>
      <c r="F691" s="117">
        <v>6.8</v>
      </c>
      <c r="G691" s="117">
        <f t="shared" si="23"/>
        <v>51</v>
      </c>
      <c r="H691" s="117">
        <f t="shared" si="24"/>
        <v>3.5700000000000003</v>
      </c>
      <c r="I691" s="38">
        <f t="shared" si="25"/>
        <v>-20454.57</v>
      </c>
    </row>
    <row r="692" spans="3:9" ht="11.25">
      <c r="C692" s="114" t="s">
        <v>482</v>
      </c>
      <c r="D692" s="115" t="s">
        <v>374</v>
      </c>
      <c r="E692" s="116">
        <v>600</v>
      </c>
      <c r="F692" s="117">
        <v>51.5</v>
      </c>
      <c r="G692" s="117">
        <f t="shared" si="23"/>
        <v>77.25</v>
      </c>
      <c r="H692" s="117">
        <f t="shared" si="24"/>
        <v>5.407500000000001</v>
      </c>
      <c r="I692" s="38">
        <f t="shared" si="25"/>
        <v>30817.3425</v>
      </c>
    </row>
    <row r="693" spans="3:9" ht="11.25">
      <c r="C693" s="114" t="s">
        <v>482</v>
      </c>
      <c r="D693" s="115" t="s">
        <v>374</v>
      </c>
      <c r="E693" s="116">
        <v>100</v>
      </c>
      <c r="F693" s="117">
        <v>47</v>
      </c>
      <c r="G693" s="117">
        <f t="shared" si="23"/>
        <v>11.75</v>
      </c>
      <c r="H693" s="117">
        <f t="shared" si="24"/>
        <v>0.8225000000000001</v>
      </c>
      <c r="I693" s="38">
        <f t="shared" si="25"/>
        <v>4687.4275</v>
      </c>
    </row>
    <row r="694" spans="3:10" ht="11.25">
      <c r="C694" s="114" t="s">
        <v>482</v>
      </c>
      <c r="D694" s="115" t="s">
        <v>374</v>
      </c>
      <c r="E694" s="116">
        <v>200</v>
      </c>
      <c r="F694" s="117">
        <v>44</v>
      </c>
      <c r="G694" s="117">
        <f t="shared" si="23"/>
        <v>22</v>
      </c>
      <c r="H694" s="117">
        <f t="shared" si="24"/>
        <v>1.54</v>
      </c>
      <c r="I694" s="38">
        <f t="shared" si="25"/>
        <v>8776.46</v>
      </c>
      <c r="J694" s="18">
        <f>SUM(I692:I694,I687,I685)</f>
        <v>-3195.4312500000015</v>
      </c>
    </row>
    <row r="695" spans="1:9" ht="12" thickBot="1">
      <c r="A695" s="6"/>
      <c r="B695" s="42"/>
      <c r="C695" s="6"/>
      <c r="D695" s="7"/>
      <c r="E695" s="43"/>
      <c r="F695" s="8"/>
      <c r="G695" s="8"/>
      <c r="H695" s="14" t="s">
        <v>34</v>
      </c>
      <c r="I695" s="14">
        <f>SUM(I691:I694)</f>
        <v>23826.659999999996</v>
      </c>
    </row>
    <row r="696" spans="1:9" ht="11.25">
      <c r="A696" s="3" t="s">
        <v>381</v>
      </c>
      <c r="B696" s="37">
        <v>37967</v>
      </c>
      <c r="C696" s="114" t="s">
        <v>480</v>
      </c>
      <c r="D696" s="115" t="s">
        <v>374</v>
      </c>
      <c r="E696" s="116">
        <v>5000</v>
      </c>
      <c r="F696" s="117">
        <v>6.9</v>
      </c>
      <c r="G696" s="117">
        <f t="shared" si="23"/>
        <v>86.25</v>
      </c>
      <c r="H696" s="117">
        <f t="shared" si="24"/>
        <v>6.0375000000000005</v>
      </c>
      <c r="I696" s="38">
        <f t="shared" si="25"/>
        <v>34407.7125</v>
      </c>
    </row>
    <row r="697" spans="3:10" ht="11.25">
      <c r="C697" s="114" t="s">
        <v>480</v>
      </c>
      <c r="D697" s="115" t="s">
        <v>375</v>
      </c>
      <c r="E697" s="116">
        <v>5000</v>
      </c>
      <c r="F697" s="117">
        <v>6.75</v>
      </c>
      <c r="G697" s="117">
        <f t="shared" si="23"/>
        <v>84.375</v>
      </c>
      <c r="H697" s="117">
        <f t="shared" si="24"/>
        <v>5.906250000000001</v>
      </c>
      <c r="I697" s="38">
        <f t="shared" si="25"/>
        <v>-33840.28125</v>
      </c>
      <c r="J697" s="10"/>
    </row>
    <row r="698" spans="3:10" ht="11.25">
      <c r="C698" s="114" t="s">
        <v>481</v>
      </c>
      <c r="D698" s="115" t="s">
        <v>374</v>
      </c>
      <c r="E698" s="116">
        <v>500</v>
      </c>
      <c r="F698" s="117">
        <v>56.5</v>
      </c>
      <c r="G698" s="117">
        <f t="shared" si="23"/>
        <v>70.625</v>
      </c>
      <c r="H698" s="117">
        <f t="shared" si="24"/>
        <v>4.9437500000000005</v>
      </c>
      <c r="I698" s="38">
        <f t="shared" si="25"/>
        <v>28174.43125</v>
      </c>
      <c r="J698" s="18">
        <f>SUM(I698,I681)</f>
        <v>-3159.1624999999985</v>
      </c>
    </row>
    <row r="699" spans="1:9" ht="12" thickBot="1">
      <c r="A699" s="6"/>
      <c r="B699" s="42"/>
      <c r="C699" s="6"/>
      <c r="D699" s="7"/>
      <c r="E699" s="43"/>
      <c r="F699" s="8"/>
      <c r="G699" s="8"/>
      <c r="H699" s="14" t="s">
        <v>34</v>
      </c>
      <c r="I699" s="14">
        <f>SUM(I696:I698)</f>
        <v>28741.862500000003</v>
      </c>
    </row>
    <row r="700" spans="1:9" ht="11.25">
      <c r="A700" s="3" t="s">
        <v>373</v>
      </c>
      <c r="B700" s="37">
        <v>37970</v>
      </c>
      <c r="C700" s="114" t="s">
        <v>480</v>
      </c>
      <c r="D700" s="115" t="s">
        <v>375</v>
      </c>
      <c r="E700" s="116">
        <v>3000</v>
      </c>
      <c r="F700" s="117">
        <v>6.85</v>
      </c>
      <c r="G700" s="117">
        <f t="shared" si="23"/>
        <v>51.375</v>
      </c>
      <c r="H700" s="117">
        <f t="shared" si="24"/>
        <v>3.5962500000000004</v>
      </c>
      <c r="I700" s="38">
        <f t="shared" si="25"/>
        <v>-20604.97125</v>
      </c>
    </row>
    <row r="701" spans="3:9" ht="11.25">
      <c r="C701" s="114" t="s">
        <v>88</v>
      </c>
      <c r="D701" s="115" t="s">
        <v>375</v>
      </c>
      <c r="E701" s="116">
        <v>2000</v>
      </c>
      <c r="F701" s="117">
        <v>20.9</v>
      </c>
      <c r="G701" s="117">
        <f t="shared" si="23"/>
        <v>104.5</v>
      </c>
      <c r="H701" s="117">
        <f t="shared" si="24"/>
        <v>7.315</v>
      </c>
      <c r="I701" s="38">
        <f t="shared" si="25"/>
        <v>-41911.815</v>
      </c>
    </row>
    <row r="702" spans="3:10" ht="11.25">
      <c r="C702" s="114" t="s">
        <v>88</v>
      </c>
      <c r="D702" s="115" t="s">
        <v>374</v>
      </c>
      <c r="E702" s="116">
        <v>2000</v>
      </c>
      <c r="F702" s="117">
        <v>20.75</v>
      </c>
      <c r="G702" s="117">
        <f t="shared" si="23"/>
        <v>103.75</v>
      </c>
      <c r="H702" s="117">
        <f t="shared" si="24"/>
        <v>7.262500000000001</v>
      </c>
      <c r="I702" s="38">
        <f t="shared" si="25"/>
        <v>41388.9875</v>
      </c>
      <c r="J702" s="18">
        <f>SUM(I701:I702)</f>
        <v>-522.8274999999994</v>
      </c>
    </row>
    <row r="703" spans="1:9" ht="12" thickBot="1">
      <c r="A703" s="6"/>
      <c r="B703" s="42"/>
      <c r="C703" s="6"/>
      <c r="D703" s="7"/>
      <c r="E703" s="43"/>
      <c r="F703" s="8"/>
      <c r="G703" s="8"/>
      <c r="H703" s="13" t="s">
        <v>14</v>
      </c>
      <c r="I703" s="13">
        <f>SUM(I700:I702)</f>
        <v>-21127.79875</v>
      </c>
    </row>
    <row r="704" spans="1:9" ht="11.25">
      <c r="A704" s="3" t="s">
        <v>402</v>
      </c>
      <c r="B704" s="37">
        <v>37971</v>
      </c>
      <c r="C704" s="114" t="s">
        <v>480</v>
      </c>
      <c r="D704" s="115" t="s">
        <v>374</v>
      </c>
      <c r="E704" s="116">
        <v>7000</v>
      </c>
      <c r="F704" s="117">
        <v>6.9</v>
      </c>
      <c r="G704" s="117">
        <f t="shared" si="23"/>
        <v>120.75</v>
      </c>
      <c r="H704" s="117">
        <f t="shared" si="24"/>
        <v>8.4525</v>
      </c>
      <c r="I704" s="38">
        <f t="shared" si="25"/>
        <v>48170.7975</v>
      </c>
    </row>
    <row r="705" spans="3:10" ht="11.25">
      <c r="C705" s="114" t="s">
        <v>480</v>
      </c>
      <c r="D705" s="115" t="s">
        <v>374</v>
      </c>
      <c r="E705" s="116">
        <v>3000</v>
      </c>
      <c r="F705" s="117">
        <v>7.05</v>
      </c>
      <c r="G705" s="117">
        <f t="shared" si="23"/>
        <v>52.875</v>
      </c>
      <c r="H705" s="117">
        <f t="shared" si="24"/>
        <v>3.7012500000000004</v>
      </c>
      <c r="I705" s="117">
        <f t="shared" si="25"/>
        <v>21093.42375</v>
      </c>
      <c r="J705" s="11">
        <f>SUM(I704:I705,I700,I696:I697,I691,I684)</f>
        <v>296.1412499999933</v>
      </c>
    </row>
    <row r="706" spans="1:9" ht="12" thickBot="1">
      <c r="A706" s="6"/>
      <c r="B706" s="42"/>
      <c r="C706" s="6"/>
      <c r="D706" s="7"/>
      <c r="E706" s="43"/>
      <c r="F706" s="8"/>
      <c r="G706" s="8"/>
      <c r="H706" s="14" t="s">
        <v>34</v>
      </c>
      <c r="I706" s="14">
        <f>SUM(I704:I705)</f>
        <v>69264.22125</v>
      </c>
    </row>
    <row r="707" spans="1:9" ht="11.25">
      <c r="A707" s="3" t="s">
        <v>377</v>
      </c>
      <c r="B707" s="37">
        <v>37972</v>
      </c>
      <c r="C707" s="3" t="s">
        <v>320</v>
      </c>
      <c r="D707" s="4" t="s">
        <v>375</v>
      </c>
      <c r="E707" s="40">
        <v>10000</v>
      </c>
      <c r="F707" s="5">
        <v>4.72</v>
      </c>
      <c r="G707" s="5">
        <f t="shared" si="23"/>
        <v>118</v>
      </c>
      <c r="H707" s="5">
        <f t="shared" si="24"/>
        <v>8.260000000000002</v>
      </c>
      <c r="I707" s="39">
        <f t="shared" si="25"/>
        <v>-47326.26</v>
      </c>
    </row>
    <row r="708" spans="3:9" ht="11.25">
      <c r="C708" s="3" t="s">
        <v>486</v>
      </c>
      <c r="D708" s="4" t="s">
        <v>375</v>
      </c>
      <c r="E708" s="40">
        <v>200</v>
      </c>
      <c r="F708" s="5">
        <v>102</v>
      </c>
      <c r="G708" s="5">
        <f t="shared" si="23"/>
        <v>51</v>
      </c>
      <c r="H708" s="5">
        <f t="shared" si="24"/>
        <v>3.5700000000000003</v>
      </c>
      <c r="I708" s="39">
        <f t="shared" si="25"/>
        <v>-20454.57</v>
      </c>
    </row>
    <row r="709" spans="1:9" ht="12" thickBot="1">
      <c r="A709" s="6"/>
      <c r="B709" s="42"/>
      <c r="C709" s="6"/>
      <c r="D709" s="7"/>
      <c r="E709" s="43"/>
      <c r="F709" s="8"/>
      <c r="G709" s="8"/>
      <c r="H709" s="13" t="s">
        <v>14</v>
      </c>
      <c r="I709" s="13">
        <f>-67780.85</f>
        <v>-67780.85</v>
      </c>
    </row>
    <row r="710" spans="1:9" ht="11.25">
      <c r="A710" s="3" t="s">
        <v>381</v>
      </c>
      <c r="B710" s="37">
        <v>37974</v>
      </c>
      <c r="C710" s="3" t="s">
        <v>320</v>
      </c>
      <c r="D710" s="4" t="s">
        <v>375</v>
      </c>
      <c r="E710" s="40">
        <v>7000</v>
      </c>
      <c r="F710" s="5">
        <v>4.6</v>
      </c>
      <c r="G710" s="5">
        <v>100</v>
      </c>
      <c r="H710" s="5">
        <f t="shared" si="24"/>
        <v>7.000000000000001</v>
      </c>
      <c r="I710" s="39">
        <f t="shared" si="25"/>
        <v>-32306.999999999996</v>
      </c>
    </row>
    <row r="711" spans="1:9" ht="12" thickBot="1">
      <c r="A711" s="6"/>
      <c r="B711" s="42"/>
      <c r="C711" s="6"/>
      <c r="D711" s="7"/>
      <c r="E711" s="43"/>
      <c r="F711" s="8"/>
      <c r="G711" s="8"/>
      <c r="H711" s="13" t="s">
        <v>14</v>
      </c>
      <c r="I711" s="13">
        <f>I710</f>
        <v>-32306.999999999996</v>
      </c>
    </row>
    <row r="712" spans="1:9" ht="11.25">
      <c r="A712" s="3" t="s">
        <v>373</v>
      </c>
      <c r="B712" s="37">
        <v>37975</v>
      </c>
      <c r="C712" s="114" t="s">
        <v>382</v>
      </c>
      <c r="D712" s="115" t="s">
        <v>375</v>
      </c>
      <c r="E712" s="116">
        <v>1000</v>
      </c>
      <c r="F712" s="117">
        <v>38.5</v>
      </c>
      <c r="G712" s="117">
        <f>(($E712*$F712)*0.0025)</f>
        <v>96.25</v>
      </c>
      <c r="H712" s="117">
        <f t="shared" si="24"/>
        <v>6.737500000000001</v>
      </c>
      <c r="I712" s="38">
        <f t="shared" si="25"/>
        <v>-38602.9875</v>
      </c>
    </row>
    <row r="713" spans="3:9" ht="11.25">
      <c r="C713" s="3" t="s">
        <v>320</v>
      </c>
      <c r="D713" s="4" t="s">
        <v>374</v>
      </c>
      <c r="E713" s="40">
        <v>15000</v>
      </c>
      <c r="F713" s="5">
        <v>4.3733326</v>
      </c>
      <c r="G713" s="5">
        <f>(($E713*$F713)*0.0025)</f>
        <v>163.9999725</v>
      </c>
      <c r="H713" s="5">
        <f t="shared" si="24"/>
        <v>11.479998075000003</v>
      </c>
      <c r="I713" s="39">
        <f t="shared" si="25"/>
        <v>65424.509029425</v>
      </c>
    </row>
    <row r="714" spans="1:9" ht="12" thickBot="1">
      <c r="A714" s="6"/>
      <c r="B714" s="42"/>
      <c r="C714" s="6"/>
      <c r="D714" s="7"/>
      <c r="E714" s="43"/>
      <c r="F714" s="8"/>
      <c r="G714" s="8"/>
      <c r="H714" s="14" t="s">
        <v>34</v>
      </c>
      <c r="I714" s="14">
        <f>SUM(I712:I713)</f>
        <v>26821.521529424994</v>
      </c>
    </row>
    <row r="715" spans="1:9" ht="11.25">
      <c r="A715" s="3" t="s">
        <v>402</v>
      </c>
      <c r="B715" s="37">
        <v>37978</v>
      </c>
      <c r="C715" s="114" t="s">
        <v>488</v>
      </c>
      <c r="D715" s="115" t="s">
        <v>375</v>
      </c>
      <c r="E715" s="116">
        <v>5000</v>
      </c>
      <c r="F715" s="117">
        <v>5.45</v>
      </c>
      <c r="G715" s="117">
        <f aca="true" t="shared" si="26" ref="G715:G779">(($E715*$F715)*0.0025)</f>
        <v>68.125</v>
      </c>
      <c r="H715" s="117">
        <f t="shared" si="24"/>
        <v>4.768750000000001</v>
      </c>
      <c r="I715" s="38">
        <f t="shared" si="25"/>
        <v>-27322.89375</v>
      </c>
    </row>
    <row r="716" spans="3:9" ht="11.25">
      <c r="C716" s="114" t="s">
        <v>382</v>
      </c>
      <c r="D716" s="115" t="s">
        <v>374</v>
      </c>
      <c r="E716" s="116">
        <v>500</v>
      </c>
      <c r="F716" s="117">
        <v>37.75</v>
      </c>
      <c r="G716" s="117">
        <f t="shared" si="26"/>
        <v>47.1875</v>
      </c>
      <c r="H716" s="117">
        <f t="shared" si="24"/>
        <v>3.3031250000000005</v>
      </c>
      <c r="I716" s="38">
        <f t="shared" si="25"/>
        <v>18824.509375</v>
      </c>
    </row>
    <row r="717" spans="1:9" ht="12" thickBot="1">
      <c r="A717" s="6"/>
      <c r="B717" s="42"/>
      <c r="C717" s="6"/>
      <c r="D717" s="7"/>
      <c r="E717" s="43"/>
      <c r="F717" s="8"/>
      <c r="G717" s="8"/>
      <c r="H717" s="13" t="s">
        <v>14</v>
      </c>
      <c r="I717" s="13">
        <f>SUM(I715:I716)</f>
        <v>-8498.384374999998</v>
      </c>
    </row>
    <row r="718" spans="1:9" ht="11.25">
      <c r="A718" s="3" t="s">
        <v>377</v>
      </c>
      <c r="B718" s="37">
        <v>37979</v>
      </c>
      <c r="C718" s="114" t="s">
        <v>489</v>
      </c>
      <c r="D718" s="115" t="s">
        <v>375</v>
      </c>
      <c r="E718" s="116">
        <v>200</v>
      </c>
      <c r="F718" s="117">
        <v>104</v>
      </c>
      <c r="G718" s="117">
        <f t="shared" si="26"/>
        <v>52</v>
      </c>
      <c r="H718" s="117">
        <f t="shared" si="24"/>
        <v>3.6400000000000006</v>
      </c>
      <c r="I718" s="38">
        <f t="shared" si="25"/>
        <v>-20855.64</v>
      </c>
    </row>
    <row r="719" spans="3:9" ht="11.25">
      <c r="C719" s="114" t="s">
        <v>489</v>
      </c>
      <c r="D719" s="115" t="s">
        <v>375</v>
      </c>
      <c r="E719" s="116">
        <v>200</v>
      </c>
      <c r="F719" s="117">
        <v>105</v>
      </c>
      <c r="G719" s="117">
        <f t="shared" si="26"/>
        <v>52.5</v>
      </c>
      <c r="H719" s="117">
        <f t="shared" si="24"/>
        <v>3.6750000000000003</v>
      </c>
      <c r="I719" s="38">
        <f t="shared" si="25"/>
        <v>-21056.175</v>
      </c>
    </row>
    <row r="720" spans="3:10" ht="11.25">
      <c r="C720" s="114" t="s">
        <v>489</v>
      </c>
      <c r="D720" s="115" t="s">
        <v>374</v>
      </c>
      <c r="E720" s="116">
        <v>400</v>
      </c>
      <c r="F720" s="117">
        <v>107</v>
      </c>
      <c r="G720" s="117">
        <f t="shared" si="26"/>
        <v>107</v>
      </c>
      <c r="H720" s="117">
        <f t="shared" si="24"/>
        <v>7.490000000000001</v>
      </c>
      <c r="I720" s="38">
        <f t="shared" si="25"/>
        <v>42685.51</v>
      </c>
      <c r="J720" s="11">
        <f>SUM(I718:I720)</f>
        <v>773.6949999999997</v>
      </c>
    </row>
    <row r="721" spans="3:9" ht="11.25">
      <c r="C721" s="3" t="s">
        <v>486</v>
      </c>
      <c r="D721" s="4" t="s">
        <v>374</v>
      </c>
      <c r="E721" s="40">
        <v>100</v>
      </c>
      <c r="F721" s="5">
        <v>107</v>
      </c>
      <c r="G721" s="5">
        <f t="shared" si="26"/>
        <v>26.75</v>
      </c>
      <c r="H721" s="5">
        <f t="shared" si="24"/>
        <v>1.8725000000000003</v>
      </c>
      <c r="I721" s="39">
        <f t="shared" si="25"/>
        <v>10671.3775</v>
      </c>
    </row>
    <row r="722" spans="3:10" ht="11.25">
      <c r="C722" s="3" t="s">
        <v>486</v>
      </c>
      <c r="D722" s="4" t="s">
        <v>375</v>
      </c>
      <c r="E722" s="40">
        <v>100</v>
      </c>
      <c r="F722" s="5">
        <v>103</v>
      </c>
      <c r="G722" s="5">
        <f t="shared" si="26"/>
        <v>25.75</v>
      </c>
      <c r="H722" s="5">
        <f t="shared" si="24"/>
        <v>1.8025000000000002</v>
      </c>
      <c r="I722" s="39">
        <f t="shared" si="25"/>
        <v>-10327.5525</v>
      </c>
      <c r="J722" s="10"/>
    </row>
    <row r="723" spans="3:10" ht="11.25">
      <c r="C723" s="114" t="s">
        <v>488</v>
      </c>
      <c r="D723" s="115" t="s">
        <v>374</v>
      </c>
      <c r="E723" s="116">
        <v>5000</v>
      </c>
      <c r="F723" s="117">
        <v>5.55</v>
      </c>
      <c r="G723" s="117">
        <f t="shared" si="26"/>
        <v>69.375</v>
      </c>
      <c r="H723" s="117">
        <f t="shared" si="24"/>
        <v>4.85625</v>
      </c>
      <c r="I723" s="38">
        <f t="shared" si="25"/>
        <v>27675.76875</v>
      </c>
      <c r="J723" s="11">
        <f>SUM(I723,I715)</f>
        <v>352.875</v>
      </c>
    </row>
    <row r="724" spans="3:9" ht="11.25">
      <c r="C724" s="114" t="s">
        <v>480</v>
      </c>
      <c r="D724" s="115" t="s">
        <v>375</v>
      </c>
      <c r="E724" s="116">
        <v>2000</v>
      </c>
      <c r="F724" s="117">
        <v>6.9</v>
      </c>
      <c r="G724" s="117">
        <f t="shared" si="26"/>
        <v>34.5</v>
      </c>
      <c r="H724" s="117">
        <f t="shared" si="24"/>
        <v>2.415</v>
      </c>
      <c r="I724" s="38">
        <f t="shared" si="25"/>
        <v>-13836.915</v>
      </c>
    </row>
    <row r="725" spans="1:9" ht="12" thickBot="1">
      <c r="A725" s="6"/>
      <c r="B725" s="42"/>
      <c r="C725" s="6"/>
      <c r="D725" s="7"/>
      <c r="E725" s="43"/>
      <c r="F725" s="8"/>
      <c r="G725" s="8"/>
      <c r="H725" s="14" t="s">
        <v>34</v>
      </c>
      <c r="I725" s="14">
        <f>14956.36</f>
        <v>14956.36</v>
      </c>
    </row>
    <row r="726" spans="1:9" ht="11.25">
      <c r="A726" s="3" t="s">
        <v>379</v>
      </c>
      <c r="B726" s="37">
        <v>37980</v>
      </c>
      <c r="C726" s="114" t="s">
        <v>480</v>
      </c>
      <c r="D726" s="115" t="s">
        <v>375</v>
      </c>
      <c r="E726" s="116">
        <v>5000</v>
      </c>
      <c r="F726" s="117">
        <v>6.6</v>
      </c>
      <c r="G726" s="117">
        <f t="shared" si="26"/>
        <v>82.5</v>
      </c>
      <c r="H726" s="117">
        <f t="shared" si="24"/>
        <v>5.775</v>
      </c>
      <c r="I726" s="38">
        <f t="shared" si="25"/>
        <v>-33088.275</v>
      </c>
    </row>
    <row r="727" spans="3:9" ht="11.25">
      <c r="C727" s="3" t="s">
        <v>486</v>
      </c>
      <c r="D727" s="4" t="s">
        <v>375</v>
      </c>
      <c r="E727" s="40">
        <v>100</v>
      </c>
      <c r="F727" s="5">
        <v>104</v>
      </c>
      <c r="G727" s="5">
        <f t="shared" si="26"/>
        <v>26</v>
      </c>
      <c r="H727" s="5">
        <f t="shared" si="24"/>
        <v>1.8200000000000003</v>
      </c>
      <c r="I727" s="39">
        <f t="shared" si="25"/>
        <v>-10427.82</v>
      </c>
    </row>
    <row r="728" spans="1:9" ht="12" thickBot="1">
      <c r="A728" s="6"/>
      <c r="B728" s="42"/>
      <c r="C728" s="6"/>
      <c r="D728" s="7"/>
      <c r="E728" s="43"/>
      <c r="F728" s="8"/>
      <c r="G728" s="8"/>
      <c r="H728" s="13" t="s">
        <v>14</v>
      </c>
      <c r="I728" s="13">
        <f>SUM(I726:I727)</f>
        <v>-43516.095</v>
      </c>
    </row>
    <row r="729" spans="1:9" ht="11.25">
      <c r="A729" s="3" t="s">
        <v>381</v>
      </c>
      <c r="B729" s="37">
        <v>37981</v>
      </c>
      <c r="C729" s="114" t="s">
        <v>490</v>
      </c>
      <c r="D729" s="115" t="s">
        <v>375</v>
      </c>
      <c r="E729" s="116">
        <v>7000</v>
      </c>
      <c r="F729" s="117">
        <v>3.985714</v>
      </c>
      <c r="G729" s="117">
        <f t="shared" si="26"/>
        <v>69.749995</v>
      </c>
      <c r="H729" s="117">
        <f t="shared" si="24"/>
        <v>4.882499650000001</v>
      </c>
      <c r="I729" s="38">
        <f t="shared" si="25"/>
        <v>-27974.63049465</v>
      </c>
    </row>
    <row r="730" spans="3:9" ht="11.25">
      <c r="C730" s="114" t="s">
        <v>491</v>
      </c>
      <c r="D730" s="115" t="s">
        <v>375</v>
      </c>
      <c r="E730" s="116">
        <v>8000</v>
      </c>
      <c r="F730" s="117">
        <v>14.875</v>
      </c>
      <c r="G730" s="117">
        <f t="shared" si="26"/>
        <v>297.5</v>
      </c>
      <c r="H730" s="117">
        <f t="shared" si="24"/>
        <v>20.825000000000003</v>
      </c>
      <c r="I730" s="38">
        <f t="shared" si="25"/>
        <v>-119318.325</v>
      </c>
    </row>
    <row r="731" spans="3:10" ht="11.25">
      <c r="C731" s="114" t="s">
        <v>491</v>
      </c>
      <c r="D731" s="115" t="s">
        <v>374</v>
      </c>
      <c r="E731" s="116">
        <v>8000</v>
      </c>
      <c r="F731" s="117">
        <v>14.774999</v>
      </c>
      <c r="G731" s="117">
        <f t="shared" si="26"/>
        <v>295.49998</v>
      </c>
      <c r="H731" s="117">
        <f t="shared" si="24"/>
        <v>20.6849986</v>
      </c>
      <c r="I731" s="38">
        <f t="shared" si="25"/>
        <v>117883.8070214</v>
      </c>
      <c r="J731" s="18">
        <f>SUM(I730:I731)</f>
        <v>-1434.5179785999935</v>
      </c>
    </row>
    <row r="732" spans="1:9" ht="12" thickBot="1">
      <c r="A732" s="6"/>
      <c r="B732" s="42"/>
      <c r="C732" s="6"/>
      <c r="D732" s="7"/>
      <c r="E732" s="43"/>
      <c r="F732" s="8"/>
      <c r="G732" s="8"/>
      <c r="H732" s="13" t="s">
        <v>14</v>
      </c>
      <c r="I732" s="13">
        <f>SUM(I729:I731)</f>
        <v>-29409.148473249996</v>
      </c>
    </row>
    <row r="733" spans="1:9" ht="11.25">
      <c r="A733" s="3" t="s">
        <v>402</v>
      </c>
      <c r="B733" s="37">
        <v>37985</v>
      </c>
      <c r="C733" s="114" t="s">
        <v>480</v>
      </c>
      <c r="D733" s="115" t="s">
        <v>375</v>
      </c>
      <c r="E733" s="116">
        <v>1000</v>
      </c>
      <c r="F733" s="117">
        <v>6.85</v>
      </c>
      <c r="G733" s="117">
        <f t="shared" si="26"/>
        <v>17.125</v>
      </c>
      <c r="H733" s="117">
        <f t="shared" si="24"/>
        <v>1.1987500000000002</v>
      </c>
      <c r="I733" s="38">
        <f t="shared" si="25"/>
        <v>-6868.32375</v>
      </c>
    </row>
    <row r="734" spans="3:9" ht="11.25">
      <c r="C734" s="114" t="s">
        <v>28</v>
      </c>
      <c r="D734" s="115" t="s">
        <v>375</v>
      </c>
      <c r="E734" s="116">
        <v>3000</v>
      </c>
      <c r="F734" s="117">
        <v>13.7</v>
      </c>
      <c r="G734" s="117">
        <f t="shared" si="26"/>
        <v>102.75</v>
      </c>
      <c r="H734" s="117">
        <f t="shared" si="24"/>
        <v>7.192500000000001</v>
      </c>
      <c r="I734" s="38">
        <f t="shared" si="25"/>
        <v>-41209.9425</v>
      </c>
    </row>
    <row r="735" spans="3:9" ht="11.25">
      <c r="C735" s="114" t="s">
        <v>490</v>
      </c>
      <c r="D735" s="115" t="s">
        <v>375</v>
      </c>
      <c r="E735" s="116">
        <v>4000</v>
      </c>
      <c r="F735" s="117">
        <v>3.82</v>
      </c>
      <c r="G735" s="117">
        <f t="shared" si="26"/>
        <v>38.2</v>
      </c>
      <c r="H735" s="117">
        <f t="shared" si="24"/>
        <v>2.6740000000000004</v>
      </c>
      <c r="I735" s="38">
        <f t="shared" si="25"/>
        <v>-15320.874000000002</v>
      </c>
    </row>
    <row r="736" spans="3:9" ht="11.25">
      <c r="C736" s="114" t="s">
        <v>490</v>
      </c>
      <c r="D736" s="115" t="s">
        <v>374</v>
      </c>
      <c r="E736" s="116">
        <v>4000</v>
      </c>
      <c r="F736" s="117">
        <v>3.86</v>
      </c>
      <c r="G736" s="117">
        <f t="shared" si="26"/>
        <v>38.6</v>
      </c>
      <c r="H736" s="117">
        <f t="shared" si="24"/>
        <v>2.7020000000000004</v>
      </c>
      <c r="I736" s="38">
        <f t="shared" si="25"/>
        <v>15398.698</v>
      </c>
    </row>
    <row r="737" spans="3:10" ht="11.25">
      <c r="C737" s="114" t="s">
        <v>382</v>
      </c>
      <c r="D737" s="115" t="s">
        <v>374</v>
      </c>
      <c r="E737" s="116">
        <v>500</v>
      </c>
      <c r="F737" s="117">
        <v>33</v>
      </c>
      <c r="G737" s="117">
        <f t="shared" si="26"/>
        <v>41.25</v>
      </c>
      <c r="H737" s="117">
        <f t="shared" si="24"/>
        <v>2.8875</v>
      </c>
      <c r="I737" s="38">
        <f t="shared" si="25"/>
        <v>16455.8625</v>
      </c>
      <c r="J737" s="18">
        <f>SUM(I737,I716,I712,)</f>
        <v>-3322.615625000006</v>
      </c>
    </row>
    <row r="738" spans="1:9" ht="12" thickBot="1">
      <c r="A738" s="6"/>
      <c r="B738" s="42"/>
      <c r="C738" s="6"/>
      <c r="D738" s="7"/>
      <c r="E738" s="43"/>
      <c r="F738" s="8"/>
      <c r="G738" s="8"/>
      <c r="H738" s="13" t="s">
        <v>14</v>
      </c>
      <c r="I738" s="13">
        <f>SUM(I733:I737)</f>
        <v>-31544.579750000008</v>
      </c>
    </row>
    <row r="739" spans="1:9" ht="11.25">
      <c r="A739" s="3" t="s">
        <v>377</v>
      </c>
      <c r="B739" s="37">
        <v>37986</v>
      </c>
      <c r="C739" s="114" t="s">
        <v>488</v>
      </c>
      <c r="D739" s="115" t="s">
        <v>375</v>
      </c>
      <c r="E739" s="116">
        <v>9000</v>
      </c>
      <c r="F739" s="117">
        <v>5.75</v>
      </c>
      <c r="G739" s="117">
        <f t="shared" si="26"/>
        <v>129.375</v>
      </c>
      <c r="H739" s="117">
        <f t="shared" si="24"/>
        <v>9.05625</v>
      </c>
      <c r="I739" s="38">
        <f t="shared" si="25"/>
        <v>-51888.43125</v>
      </c>
    </row>
    <row r="740" spans="3:10" ht="11.25">
      <c r="C740" s="114" t="s">
        <v>28</v>
      </c>
      <c r="D740" s="115" t="s">
        <v>374</v>
      </c>
      <c r="E740" s="116">
        <v>3000</v>
      </c>
      <c r="F740" s="117">
        <v>13.9</v>
      </c>
      <c r="G740" s="117">
        <f t="shared" si="26"/>
        <v>104.25</v>
      </c>
      <c r="H740" s="117">
        <f t="shared" si="24"/>
        <v>7.2975</v>
      </c>
      <c r="I740" s="38">
        <f t="shared" si="25"/>
        <v>41588.4525</v>
      </c>
      <c r="J740" s="11">
        <f>SUM(I740,I734)</f>
        <v>378.51000000000204</v>
      </c>
    </row>
    <row r="741" spans="3:9" ht="11.25">
      <c r="C741" s="114" t="s">
        <v>28</v>
      </c>
      <c r="D741" s="115" t="s">
        <v>375</v>
      </c>
      <c r="E741" s="116">
        <v>1500</v>
      </c>
      <c r="F741" s="117">
        <v>14.1</v>
      </c>
      <c r="G741" s="117">
        <f t="shared" si="26"/>
        <v>52.875</v>
      </c>
      <c r="H741" s="117">
        <f t="shared" si="24"/>
        <v>3.7012500000000004</v>
      </c>
      <c r="I741" s="38">
        <f t="shared" si="25"/>
        <v>-21206.57625</v>
      </c>
    </row>
    <row r="742" spans="3:9" ht="11.25">
      <c r="C742" s="114" t="s">
        <v>28</v>
      </c>
      <c r="D742" s="115" t="s">
        <v>375</v>
      </c>
      <c r="E742" s="116">
        <v>2500</v>
      </c>
      <c r="F742" s="117">
        <v>14.2</v>
      </c>
      <c r="G742" s="117">
        <f t="shared" si="26"/>
        <v>88.75</v>
      </c>
      <c r="H742" s="117">
        <f t="shared" si="24"/>
        <v>6.2125</v>
      </c>
      <c r="I742" s="38">
        <f t="shared" si="25"/>
        <v>-35594.9625</v>
      </c>
    </row>
    <row r="743" spans="3:9" ht="11.25">
      <c r="C743" s="114" t="s">
        <v>28</v>
      </c>
      <c r="D743" s="115" t="s">
        <v>375</v>
      </c>
      <c r="E743" s="116">
        <v>1000</v>
      </c>
      <c r="F743" s="117">
        <v>14.3</v>
      </c>
      <c r="G743" s="117">
        <f t="shared" si="26"/>
        <v>35.75</v>
      </c>
      <c r="H743" s="117">
        <f t="shared" si="24"/>
        <v>2.5025000000000004</v>
      </c>
      <c r="I743" s="38">
        <f t="shared" si="25"/>
        <v>-14338.2525</v>
      </c>
    </row>
    <row r="744" spans="3:10" ht="11.25">
      <c r="C744" s="114" t="s">
        <v>405</v>
      </c>
      <c r="D744" s="115" t="s">
        <v>374</v>
      </c>
      <c r="E744" s="116">
        <v>1100</v>
      </c>
      <c r="F744" s="117">
        <v>42.25</v>
      </c>
      <c r="G744" s="117">
        <f t="shared" si="26"/>
        <v>116.1875</v>
      </c>
      <c r="H744" s="117">
        <f t="shared" si="24"/>
        <v>8.133125000000001</v>
      </c>
      <c r="I744" s="38">
        <f t="shared" si="25"/>
        <v>46350.679375</v>
      </c>
      <c r="J744" s="18">
        <f>SUM(I744,I657:I658,I642,I636:I637,)</f>
        <v>-3551.0381249999937</v>
      </c>
    </row>
    <row r="745" spans="1:9" ht="12" thickBot="1">
      <c r="A745" s="6"/>
      <c r="B745" s="42"/>
      <c r="C745" s="6"/>
      <c r="D745" s="7"/>
      <c r="E745" s="43"/>
      <c r="F745" s="8"/>
      <c r="G745" s="8"/>
      <c r="H745" s="13" t="s">
        <v>14</v>
      </c>
      <c r="I745" s="13">
        <f>-35089.1</f>
        <v>-35089.1</v>
      </c>
    </row>
    <row r="746" spans="1:9" ht="11.25">
      <c r="A746" s="3" t="s">
        <v>373</v>
      </c>
      <c r="B746" s="37">
        <f>B739+5</f>
        <v>37991</v>
      </c>
      <c r="C746" s="114" t="s">
        <v>28</v>
      </c>
      <c r="D746" s="115" t="s">
        <v>375</v>
      </c>
      <c r="E746" s="116">
        <v>1000</v>
      </c>
      <c r="F746" s="117">
        <v>14.5</v>
      </c>
      <c r="G746" s="117">
        <f t="shared" si="26"/>
        <v>36.25</v>
      </c>
      <c r="H746" s="117">
        <f t="shared" si="24"/>
        <v>2.5375</v>
      </c>
      <c r="I746" s="38">
        <f t="shared" si="25"/>
        <v>-14538.7875</v>
      </c>
    </row>
    <row r="747" spans="3:9" ht="11.25">
      <c r="C747" s="114" t="s">
        <v>488</v>
      </c>
      <c r="D747" s="115" t="s">
        <v>375</v>
      </c>
      <c r="E747" s="116">
        <v>2000</v>
      </c>
      <c r="F747" s="117">
        <v>5.7</v>
      </c>
      <c r="G747" s="117">
        <f t="shared" si="26"/>
        <v>28.5</v>
      </c>
      <c r="H747" s="117">
        <f>$G747*0.07</f>
        <v>1.995</v>
      </c>
      <c r="I747" s="38">
        <f>IF($D747="B",(($E747*$F747)+$G747+$H747)*(-1),IF($D747="S",($E747*$F747)-$G747-$H747))</f>
        <v>-11430.495</v>
      </c>
    </row>
    <row r="748" spans="3:9" ht="11.25">
      <c r="C748" s="114" t="s">
        <v>480</v>
      </c>
      <c r="D748" s="115" t="s">
        <v>375</v>
      </c>
      <c r="E748" s="116">
        <v>1000</v>
      </c>
      <c r="F748" s="117">
        <v>7.2</v>
      </c>
      <c r="G748" s="117">
        <f t="shared" si="26"/>
        <v>18</v>
      </c>
      <c r="H748" s="117">
        <f>$G748*0.07</f>
        <v>1.2600000000000002</v>
      </c>
      <c r="I748" s="38">
        <f>IF($D748="B",(($E748*$F748)+$G748+$H748)*(-1),IF($D748="S",($E748*$F748)-$G748-$H748))</f>
        <v>-7219.26</v>
      </c>
    </row>
    <row r="749" spans="3:9" ht="11.25">
      <c r="C749" s="114" t="s">
        <v>490</v>
      </c>
      <c r="D749" s="115" t="s">
        <v>375</v>
      </c>
      <c r="E749" s="116">
        <v>1000</v>
      </c>
      <c r="F749" s="117">
        <v>4.12</v>
      </c>
      <c r="G749" s="117">
        <f t="shared" si="26"/>
        <v>10.3</v>
      </c>
      <c r="H749" s="117">
        <f>$G749*0.07</f>
        <v>0.7210000000000001</v>
      </c>
      <c r="I749" s="38">
        <f>IF($D749="B",(($E749*$F749)+$G749+$H749)*(-1),IF($D749="S",($E749*$F749)-$G749-$H749))</f>
        <v>-4131.021</v>
      </c>
    </row>
    <row r="750" spans="3:10" ht="11.25">
      <c r="C750" s="114" t="s">
        <v>490</v>
      </c>
      <c r="D750" s="115" t="s">
        <v>374</v>
      </c>
      <c r="E750" s="116">
        <v>8000</v>
      </c>
      <c r="F750" s="117">
        <v>4.12</v>
      </c>
      <c r="G750" s="117">
        <f t="shared" si="26"/>
        <v>82.4</v>
      </c>
      <c r="H750" s="117">
        <f>$G750*0.07</f>
        <v>5.768000000000001</v>
      </c>
      <c r="I750" s="38">
        <f>IF($D750="B",(($E750*$F750)+$G750+$H750)*(-1),IF($D750="S",($E750*$F750)-$G750-$H750))</f>
        <v>32871.832</v>
      </c>
      <c r="J750" s="11">
        <f>SUM(I749:I750,I735:I736,I729,)</f>
        <v>844.0045053500035</v>
      </c>
    </row>
    <row r="751" spans="1:9" ht="12" thickBot="1">
      <c r="A751" s="6"/>
      <c r="B751" s="42"/>
      <c r="C751" s="6"/>
      <c r="D751" s="7"/>
      <c r="E751" s="43"/>
      <c r="F751" s="8"/>
      <c r="G751" s="8"/>
      <c r="H751" s="13" t="s">
        <v>14</v>
      </c>
      <c r="I751" s="13">
        <f>SUM(I746:I750)</f>
        <v>-4447.731500000002</v>
      </c>
    </row>
    <row r="752" spans="1:9" ht="11.25">
      <c r="A752" s="3" t="s">
        <v>402</v>
      </c>
      <c r="B752" s="37">
        <f>B746+1</f>
        <v>37992</v>
      </c>
      <c r="C752" s="114" t="s">
        <v>480</v>
      </c>
      <c r="D752" s="115" t="s">
        <v>374</v>
      </c>
      <c r="E752" s="116">
        <v>4000</v>
      </c>
      <c r="F752" s="117">
        <v>7.3</v>
      </c>
      <c r="G752" s="117">
        <f t="shared" si="26"/>
        <v>73</v>
      </c>
      <c r="H752" s="117">
        <f aca="true" t="shared" si="27" ref="H752:H792">$G752*0.07</f>
        <v>5.11</v>
      </c>
      <c r="I752" s="38">
        <f aca="true" t="shared" si="28" ref="I752:I792">IF($D752="B",(($E752*$F752)+$G752+$H752)*(-1),IF($D752="S",($E752*$F752)-$G752-$H752))</f>
        <v>29121.89</v>
      </c>
    </row>
    <row r="753" spans="3:10" ht="11.25">
      <c r="C753" s="114" t="s">
        <v>480</v>
      </c>
      <c r="D753" s="115" t="s">
        <v>374</v>
      </c>
      <c r="E753" s="116">
        <v>5000</v>
      </c>
      <c r="F753" s="117">
        <v>7.45</v>
      </c>
      <c r="G753" s="117">
        <f t="shared" si="26"/>
        <v>93.125</v>
      </c>
      <c r="H753" s="117">
        <f t="shared" si="27"/>
        <v>6.518750000000001</v>
      </c>
      <c r="I753" s="38">
        <f t="shared" si="28"/>
        <v>37150.35625</v>
      </c>
      <c r="J753" s="11">
        <f>SUM(I752:I753,I748,I733,I726,I724,)</f>
        <v>5259.472499999989</v>
      </c>
    </row>
    <row r="754" spans="3:10" ht="11.25">
      <c r="C754" s="114" t="s">
        <v>480</v>
      </c>
      <c r="D754" s="115" t="s">
        <v>375</v>
      </c>
      <c r="E754" s="116">
        <v>3000</v>
      </c>
      <c r="F754" s="117">
        <v>7.15</v>
      </c>
      <c r="G754" s="117">
        <f t="shared" si="26"/>
        <v>53.625</v>
      </c>
      <c r="H754" s="117">
        <f t="shared" si="27"/>
        <v>3.75375</v>
      </c>
      <c r="I754" s="38">
        <f t="shared" si="28"/>
        <v>-21507.37875</v>
      </c>
      <c r="J754" s="11"/>
    </row>
    <row r="755" spans="3:10" ht="11.25">
      <c r="C755" s="114" t="s">
        <v>480</v>
      </c>
      <c r="D755" s="115" t="s">
        <v>375</v>
      </c>
      <c r="E755" s="116">
        <v>4000</v>
      </c>
      <c r="F755" s="117">
        <v>7.25</v>
      </c>
      <c r="G755" s="117">
        <f t="shared" si="26"/>
        <v>72.5</v>
      </c>
      <c r="H755" s="117">
        <f t="shared" si="27"/>
        <v>5.075</v>
      </c>
      <c r="I755" s="38">
        <f t="shared" si="28"/>
        <v>-29077.575</v>
      </c>
      <c r="J755" s="11"/>
    </row>
    <row r="756" spans="3:9" ht="11.25">
      <c r="C756" s="114" t="s">
        <v>488</v>
      </c>
      <c r="D756" s="115" t="s">
        <v>374</v>
      </c>
      <c r="E756" s="116">
        <v>6000</v>
      </c>
      <c r="F756" s="117">
        <v>5.8</v>
      </c>
      <c r="G756" s="117">
        <f t="shared" si="26"/>
        <v>87</v>
      </c>
      <c r="H756" s="117">
        <f t="shared" si="27"/>
        <v>6.090000000000001</v>
      </c>
      <c r="I756" s="38">
        <f t="shared" si="28"/>
        <v>34706.91</v>
      </c>
    </row>
    <row r="757" spans="3:10" ht="11.25">
      <c r="C757" s="114" t="s">
        <v>488</v>
      </c>
      <c r="D757" s="115" t="s">
        <v>374</v>
      </c>
      <c r="E757" s="116">
        <v>5000</v>
      </c>
      <c r="F757" s="117">
        <v>5.9</v>
      </c>
      <c r="G757" s="117">
        <f t="shared" si="26"/>
        <v>73.75</v>
      </c>
      <c r="H757" s="117">
        <f t="shared" si="27"/>
        <v>5.1625000000000005</v>
      </c>
      <c r="I757" s="38">
        <f t="shared" si="28"/>
        <v>29421.0875</v>
      </c>
      <c r="J757" s="11">
        <f>SUM(I756:I757,I747,I739,)</f>
        <v>809.0712500000009</v>
      </c>
    </row>
    <row r="758" spans="3:10" ht="11.25">
      <c r="C758" s="114" t="s">
        <v>472</v>
      </c>
      <c r="D758" s="115" t="s">
        <v>374</v>
      </c>
      <c r="E758" s="116">
        <v>1500</v>
      </c>
      <c r="F758" s="117">
        <v>8.75</v>
      </c>
      <c r="G758" s="117">
        <f t="shared" si="26"/>
        <v>32.8125</v>
      </c>
      <c r="H758" s="117">
        <f t="shared" si="27"/>
        <v>2.296875</v>
      </c>
      <c r="I758" s="38">
        <f t="shared" si="28"/>
        <v>13089.890625</v>
      </c>
      <c r="J758" s="18">
        <f>SUM(I758,I651,I639,I628,I609,I597,)</f>
        <v>-14934.274375000003</v>
      </c>
    </row>
    <row r="759" spans="3:9" ht="11.25">
      <c r="C759" s="114" t="s">
        <v>28</v>
      </c>
      <c r="D759" s="115" t="s">
        <v>374</v>
      </c>
      <c r="E759" s="116">
        <v>1000</v>
      </c>
      <c r="F759" s="117">
        <v>16</v>
      </c>
      <c r="G759" s="117">
        <f t="shared" si="26"/>
        <v>40</v>
      </c>
      <c r="H759" s="117">
        <f t="shared" si="27"/>
        <v>2.8000000000000003</v>
      </c>
      <c r="I759" s="38">
        <f t="shared" si="28"/>
        <v>15957.2</v>
      </c>
    </row>
    <row r="760" spans="3:9" ht="11.25">
      <c r="C760" s="114" t="s">
        <v>28</v>
      </c>
      <c r="D760" s="115" t="s">
        <v>374</v>
      </c>
      <c r="E760" s="116">
        <v>1000</v>
      </c>
      <c r="F760" s="117">
        <v>16.1</v>
      </c>
      <c r="G760" s="117">
        <f t="shared" si="26"/>
        <v>40.25000000000001</v>
      </c>
      <c r="H760" s="117">
        <f t="shared" si="27"/>
        <v>2.817500000000001</v>
      </c>
      <c r="I760" s="38">
        <f t="shared" si="28"/>
        <v>16056.932500000003</v>
      </c>
    </row>
    <row r="761" spans="1:9" ht="12" thickBot="1">
      <c r="A761" s="6"/>
      <c r="B761" s="42"/>
      <c r="C761" s="6"/>
      <c r="D761" s="7"/>
      <c r="E761" s="43"/>
      <c r="F761" s="8"/>
      <c r="G761" s="8"/>
      <c r="H761" s="14" t="s">
        <v>34</v>
      </c>
      <c r="I761" s="14">
        <f>SUM(I752:I760)</f>
        <v>124919.31312500002</v>
      </c>
    </row>
    <row r="762" spans="1:10" ht="11.25">
      <c r="A762" s="3" t="s">
        <v>377</v>
      </c>
      <c r="B762" s="37">
        <f>B752+1</f>
        <v>37993</v>
      </c>
      <c r="C762" s="114" t="s">
        <v>480</v>
      </c>
      <c r="D762" s="115" t="s">
        <v>374</v>
      </c>
      <c r="E762" s="116">
        <v>7000</v>
      </c>
      <c r="F762" s="117">
        <v>7</v>
      </c>
      <c r="G762" s="117">
        <f t="shared" si="26"/>
        <v>122.5</v>
      </c>
      <c r="H762" s="117">
        <f t="shared" si="27"/>
        <v>8.575000000000001</v>
      </c>
      <c r="I762" s="38">
        <f t="shared" si="28"/>
        <v>48868.925</v>
      </c>
      <c r="J762" s="18">
        <f>SUM(I762,I754:I755,)</f>
        <v>-1716.0287499999977</v>
      </c>
    </row>
    <row r="763" spans="3:10" ht="11.25">
      <c r="C763" s="114" t="s">
        <v>28</v>
      </c>
      <c r="D763" s="115" t="s">
        <v>374</v>
      </c>
      <c r="E763" s="116">
        <v>4000</v>
      </c>
      <c r="F763" s="117">
        <v>15.974999</v>
      </c>
      <c r="G763" s="117">
        <f t="shared" si="26"/>
        <v>159.74999</v>
      </c>
      <c r="H763" s="117">
        <f t="shared" si="27"/>
        <v>11.182499300000002</v>
      </c>
      <c r="I763" s="38">
        <f t="shared" si="28"/>
        <v>63729.063510700005</v>
      </c>
      <c r="J763" s="11">
        <f>SUM(I763,I759:I760,I746,I741:I743,)</f>
        <v>10064.617260700014</v>
      </c>
    </row>
    <row r="764" spans="3:9" ht="11.25">
      <c r="C764" s="114" t="s">
        <v>429</v>
      </c>
      <c r="D764" s="115" t="s">
        <v>375</v>
      </c>
      <c r="E764" s="116">
        <v>300</v>
      </c>
      <c r="F764" s="117">
        <v>38.75</v>
      </c>
      <c r="G764" s="117">
        <f t="shared" si="26"/>
        <v>29.0625</v>
      </c>
      <c r="H764" s="117">
        <f t="shared" si="27"/>
        <v>2.0343750000000003</v>
      </c>
      <c r="I764" s="38">
        <f t="shared" si="28"/>
        <v>-11656.096875</v>
      </c>
    </row>
    <row r="765" spans="1:9" ht="12" thickBot="1">
      <c r="A765" s="6"/>
      <c r="B765" s="42"/>
      <c r="C765" s="6"/>
      <c r="D765" s="7"/>
      <c r="E765" s="43"/>
      <c r="F765" s="8"/>
      <c r="G765" s="8"/>
      <c r="H765" s="14" t="s">
        <v>34</v>
      </c>
      <c r="I765" s="14">
        <f>SUM(I762:I764)</f>
        <v>100941.8916357</v>
      </c>
    </row>
    <row r="766" spans="1:9" ht="11.25">
      <c r="A766" s="3" t="s">
        <v>379</v>
      </c>
      <c r="B766" s="37">
        <f>B762+1</f>
        <v>37994</v>
      </c>
      <c r="C766" s="114" t="s">
        <v>496</v>
      </c>
      <c r="D766" s="115" t="s">
        <v>375</v>
      </c>
      <c r="E766" s="116">
        <v>400</v>
      </c>
      <c r="F766" s="117">
        <v>122</v>
      </c>
      <c r="G766" s="117">
        <f t="shared" si="26"/>
        <v>122</v>
      </c>
      <c r="H766" s="117">
        <f t="shared" si="27"/>
        <v>8.540000000000001</v>
      </c>
      <c r="I766" s="38">
        <f t="shared" si="28"/>
        <v>-48930.54</v>
      </c>
    </row>
    <row r="767" spans="3:10" ht="11.25">
      <c r="C767" s="114" t="s">
        <v>496</v>
      </c>
      <c r="D767" s="115" t="s">
        <v>374</v>
      </c>
      <c r="E767" s="116">
        <v>400</v>
      </c>
      <c r="F767" s="117">
        <v>123</v>
      </c>
      <c r="G767" s="117">
        <f t="shared" si="26"/>
        <v>123</v>
      </c>
      <c r="H767" s="117">
        <f t="shared" si="27"/>
        <v>8.610000000000001</v>
      </c>
      <c r="I767" s="38">
        <f t="shared" si="28"/>
        <v>49068.39</v>
      </c>
      <c r="J767" s="11">
        <f>SUM(I766:I767)</f>
        <v>137.84999999999854</v>
      </c>
    </row>
    <row r="768" spans="3:10" ht="11.25">
      <c r="C768" s="114" t="s">
        <v>429</v>
      </c>
      <c r="D768" s="115" t="s">
        <v>374</v>
      </c>
      <c r="E768" s="116">
        <v>300</v>
      </c>
      <c r="F768" s="117">
        <v>41</v>
      </c>
      <c r="G768" s="117">
        <f t="shared" si="26"/>
        <v>30.75</v>
      </c>
      <c r="H768" s="117">
        <f t="shared" si="27"/>
        <v>2.1525000000000003</v>
      </c>
      <c r="I768" s="38">
        <f t="shared" si="28"/>
        <v>12267.0975</v>
      </c>
      <c r="J768" s="11">
        <f>SUM(I768,I764)</f>
        <v>611.0006250000006</v>
      </c>
    </row>
    <row r="769" spans="3:9" ht="11.25">
      <c r="C769" s="114" t="s">
        <v>429</v>
      </c>
      <c r="D769" s="115" t="s">
        <v>375</v>
      </c>
      <c r="E769" s="116">
        <v>700</v>
      </c>
      <c r="F769" s="117">
        <v>40.46428</v>
      </c>
      <c r="G769" s="117">
        <f t="shared" si="26"/>
        <v>70.81249000000001</v>
      </c>
      <c r="H769" s="117">
        <f t="shared" si="27"/>
        <v>4.956874300000001</v>
      </c>
      <c r="I769" s="38">
        <f t="shared" si="28"/>
        <v>-28400.765364300005</v>
      </c>
    </row>
    <row r="770" spans="1:9" ht="12" thickBot="1">
      <c r="A770" s="6"/>
      <c r="B770" s="42"/>
      <c r="C770" s="6"/>
      <c r="D770" s="7"/>
      <c r="E770" s="43"/>
      <c r="F770" s="8"/>
      <c r="G770" s="8"/>
      <c r="H770" s="13" t="s">
        <v>14</v>
      </c>
      <c r="I770" s="13">
        <f>SUM(I766:I769)</f>
        <v>-15995.817864300006</v>
      </c>
    </row>
    <row r="771" spans="1:9" ht="11.25">
      <c r="A771" s="3" t="s">
        <v>381</v>
      </c>
      <c r="B771" s="37">
        <f>B766+1</f>
        <v>37995</v>
      </c>
      <c r="C771" s="114" t="s">
        <v>497</v>
      </c>
      <c r="D771" s="115" t="s">
        <v>375</v>
      </c>
      <c r="E771" s="116">
        <v>1000</v>
      </c>
      <c r="F771" s="117">
        <v>26.5</v>
      </c>
      <c r="G771" s="117">
        <f t="shared" si="26"/>
        <v>66.25</v>
      </c>
      <c r="H771" s="117">
        <f t="shared" si="27"/>
        <v>4.6375</v>
      </c>
      <c r="I771" s="38">
        <f t="shared" si="28"/>
        <v>-26570.8875</v>
      </c>
    </row>
    <row r="772" spans="3:9" ht="11.25">
      <c r="C772" s="114" t="s">
        <v>28</v>
      </c>
      <c r="D772" s="115" t="s">
        <v>375</v>
      </c>
      <c r="E772" s="116">
        <v>1000</v>
      </c>
      <c r="F772" s="117">
        <v>11.9</v>
      </c>
      <c r="G772" s="117">
        <f t="shared" si="26"/>
        <v>29.75</v>
      </c>
      <c r="H772" s="117">
        <f t="shared" si="27"/>
        <v>2.0825</v>
      </c>
      <c r="I772" s="38">
        <f t="shared" si="28"/>
        <v>-11931.8325</v>
      </c>
    </row>
    <row r="773" spans="3:9" ht="11.25">
      <c r="C773" s="3" t="s">
        <v>486</v>
      </c>
      <c r="D773" s="4" t="s">
        <v>375</v>
      </c>
      <c r="E773" s="40">
        <v>100</v>
      </c>
      <c r="F773" s="5">
        <v>103</v>
      </c>
      <c r="G773" s="5">
        <f t="shared" si="26"/>
        <v>25.75</v>
      </c>
      <c r="H773" s="5">
        <f t="shared" si="27"/>
        <v>1.8025000000000002</v>
      </c>
      <c r="I773" s="39">
        <f t="shared" si="28"/>
        <v>-10327.5525</v>
      </c>
    </row>
    <row r="774" spans="3:10" ht="11.25">
      <c r="C774" s="114" t="s">
        <v>429</v>
      </c>
      <c r="D774" s="115" t="s">
        <v>374</v>
      </c>
      <c r="E774" s="116">
        <v>700</v>
      </c>
      <c r="F774" s="117">
        <v>40.5</v>
      </c>
      <c r="G774" s="117">
        <f t="shared" si="26"/>
        <v>70.875</v>
      </c>
      <c r="H774" s="117">
        <f t="shared" si="27"/>
        <v>4.961250000000001</v>
      </c>
      <c r="I774" s="38">
        <f t="shared" si="28"/>
        <v>28274.16375</v>
      </c>
      <c r="J774" s="18">
        <f>SUM(I774,I769)</f>
        <v>-126.60161430000517</v>
      </c>
    </row>
    <row r="775" spans="1:9" ht="12" thickBot="1">
      <c r="A775" s="6"/>
      <c r="B775" s="42"/>
      <c r="C775" s="6"/>
      <c r="D775" s="7"/>
      <c r="E775" s="43"/>
      <c r="F775" s="8"/>
      <c r="G775" s="8"/>
      <c r="H775" s="13" t="s">
        <v>14</v>
      </c>
      <c r="I775" s="13">
        <f>SUM(I771:I774)</f>
        <v>-20556.10875</v>
      </c>
    </row>
    <row r="776" spans="1:9" ht="11.25">
      <c r="A776" s="3" t="s">
        <v>373</v>
      </c>
      <c r="B776" s="37">
        <f>B771+3</f>
        <v>37998</v>
      </c>
      <c r="C776" s="114" t="s">
        <v>28</v>
      </c>
      <c r="D776" s="115" t="s">
        <v>375</v>
      </c>
      <c r="E776" s="116">
        <v>3000</v>
      </c>
      <c r="F776" s="117">
        <v>11.133335</v>
      </c>
      <c r="G776" s="117">
        <f t="shared" si="26"/>
        <v>83.50001250000001</v>
      </c>
      <c r="H776" s="117">
        <f t="shared" si="27"/>
        <v>5.845000875000001</v>
      </c>
      <c r="I776" s="38">
        <f t="shared" si="28"/>
        <v>-33489.350013375006</v>
      </c>
    </row>
    <row r="777" spans="3:9" ht="11.25">
      <c r="C777" s="3" t="s">
        <v>328</v>
      </c>
      <c r="D777" s="4" t="s">
        <v>375</v>
      </c>
      <c r="E777" s="40">
        <v>1000</v>
      </c>
      <c r="F777" s="5">
        <v>43.5</v>
      </c>
      <c r="G777" s="5">
        <f t="shared" si="26"/>
        <v>108.75</v>
      </c>
      <c r="H777" s="5">
        <f t="shared" si="27"/>
        <v>7.612500000000001</v>
      </c>
      <c r="I777" s="5">
        <f t="shared" si="28"/>
        <v>-43616.3625</v>
      </c>
    </row>
    <row r="778" spans="1:9" ht="12" thickBot="1">
      <c r="A778" s="6"/>
      <c r="B778" s="42"/>
      <c r="C778" s="6"/>
      <c r="D778" s="7"/>
      <c r="E778" s="43"/>
      <c r="F778" s="8"/>
      <c r="G778" s="8"/>
      <c r="H778" s="13" t="s">
        <v>14</v>
      </c>
      <c r="I778" s="13">
        <f>SUM(I776:I777)</f>
        <v>-77105.71251337501</v>
      </c>
    </row>
    <row r="779" spans="1:9" ht="11.25">
      <c r="A779" s="3" t="s">
        <v>402</v>
      </c>
      <c r="B779" s="37">
        <v>37999</v>
      </c>
      <c r="C779" s="3" t="s">
        <v>499</v>
      </c>
      <c r="D779" s="4" t="s">
        <v>375</v>
      </c>
      <c r="E779" s="40">
        <v>300</v>
      </c>
      <c r="F779" s="5">
        <v>87.5</v>
      </c>
      <c r="G779" s="5">
        <f t="shared" si="26"/>
        <v>65.625</v>
      </c>
      <c r="H779" s="5">
        <f t="shared" si="27"/>
        <v>4.59375</v>
      </c>
      <c r="I779" s="39">
        <f t="shared" si="28"/>
        <v>-26320.21875</v>
      </c>
    </row>
    <row r="780" spans="3:9" ht="11.25">
      <c r="C780" s="114" t="s">
        <v>500</v>
      </c>
      <c r="D780" s="115" t="s">
        <v>375</v>
      </c>
      <c r="E780" s="116">
        <v>500</v>
      </c>
      <c r="F780" s="117">
        <v>142</v>
      </c>
      <c r="G780" s="117">
        <f>(($E780*$F780)*0.0025)</f>
        <v>177.5</v>
      </c>
      <c r="H780" s="117">
        <f t="shared" si="27"/>
        <v>12.425</v>
      </c>
      <c r="I780" s="38">
        <f t="shared" si="28"/>
        <v>-71189.925</v>
      </c>
    </row>
    <row r="781" spans="3:10" ht="11.25">
      <c r="C781" s="114" t="s">
        <v>500</v>
      </c>
      <c r="D781" s="115" t="s">
        <v>374</v>
      </c>
      <c r="E781" s="116">
        <v>500</v>
      </c>
      <c r="F781" s="117">
        <v>139</v>
      </c>
      <c r="G781" s="117">
        <f>(($E781*$F781)*0.0025)</f>
        <v>173.75</v>
      </c>
      <c r="H781" s="117">
        <f t="shared" si="27"/>
        <v>12.162500000000001</v>
      </c>
      <c r="I781" s="38">
        <f t="shared" si="28"/>
        <v>69314.0875</v>
      </c>
      <c r="J781" s="18">
        <f>SUM(I780:I781)</f>
        <v>-1875.8375000000087</v>
      </c>
    </row>
    <row r="782" spans="3:9" ht="11.25">
      <c r="C782" s="114" t="s">
        <v>501</v>
      </c>
      <c r="D782" s="115" t="s">
        <v>375</v>
      </c>
      <c r="E782" s="116">
        <v>3000</v>
      </c>
      <c r="F782" s="117">
        <v>12.2</v>
      </c>
      <c r="G782" s="117">
        <f>(($E782*$F782)*0.0025)</f>
        <v>91.5</v>
      </c>
      <c r="H782" s="117">
        <f t="shared" si="27"/>
        <v>6.405</v>
      </c>
      <c r="I782" s="38">
        <f t="shared" si="28"/>
        <v>-36697.905</v>
      </c>
    </row>
    <row r="783" spans="3:10" ht="11.25">
      <c r="C783" s="114" t="s">
        <v>501</v>
      </c>
      <c r="D783" s="115" t="s">
        <v>374</v>
      </c>
      <c r="E783" s="116">
        <v>3000</v>
      </c>
      <c r="F783" s="117">
        <v>12.4</v>
      </c>
      <c r="G783" s="117">
        <f>(($E783*$F783)*0.0025)</f>
        <v>93</v>
      </c>
      <c r="H783" s="117">
        <f t="shared" si="27"/>
        <v>6.510000000000001</v>
      </c>
      <c r="I783" s="38">
        <f t="shared" si="28"/>
        <v>37100.49</v>
      </c>
      <c r="J783" s="11">
        <f>SUM(I782:I783)</f>
        <v>402.5849999999991</v>
      </c>
    </row>
    <row r="784" spans="1:9" ht="12" thickBot="1">
      <c r="A784" s="6"/>
      <c r="B784" s="42"/>
      <c r="C784" s="6"/>
      <c r="D784" s="7"/>
      <c r="E784" s="43"/>
      <c r="F784" s="8"/>
      <c r="G784" s="8"/>
      <c r="H784" s="13" t="s">
        <v>14</v>
      </c>
      <c r="I784" s="13">
        <f>SUM(I779:I783)</f>
        <v>-27793.47125000001</v>
      </c>
    </row>
    <row r="785" spans="1:9" ht="11.25">
      <c r="A785" s="3" t="s">
        <v>377</v>
      </c>
      <c r="B785" s="37">
        <f>B779+1</f>
        <v>38000</v>
      </c>
      <c r="C785" s="114" t="s">
        <v>500</v>
      </c>
      <c r="D785" s="115" t="s">
        <v>375</v>
      </c>
      <c r="E785" s="116">
        <v>500</v>
      </c>
      <c r="F785" s="117">
        <v>136</v>
      </c>
      <c r="G785" s="117">
        <f>(($E785*$F785)*0.0025)</f>
        <v>170</v>
      </c>
      <c r="H785" s="117">
        <f t="shared" si="27"/>
        <v>11.9</v>
      </c>
      <c r="I785" s="38">
        <f t="shared" si="28"/>
        <v>-68181.9</v>
      </c>
    </row>
    <row r="786" spans="3:10" ht="11.25">
      <c r="C786" s="114" t="s">
        <v>28</v>
      </c>
      <c r="D786" s="115" t="s">
        <v>374</v>
      </c>
      <c r="E786" s="116">
        <v>4000</v>
      </c>
      <c r="F786" s="117">
        <v>12.1</v>
      </c>
      <c r="G786" s="117">
        <f>(($E786*$F786)*0.0025)</f>
        <v>121</v>
      </c>
      <c r="H786" s="117">
        <f t="shared" si="27"/>
        <v>8.47</v>
      </c>
      <c r="I786" s="38">
        <f t="shared" si="28"/>
        <v>48270.53</v>
      </c>
      <c r="J786" s="11">
        <f>SUM(I786,I776,I772)</f>
        <v>2849.3474866249926</v>
      </c>
    </row>
    <row r="787" spans="3:9" ht="11.25">
      <c r="C787" s="114" t="s">
        <v>28</v>
      </c>
      <c r="D787" s="115" t="s">
        <v>375</v>
      </c>
      <c r="E787" s="116">
        <v>4000</v>
      </c>
      <c r="F787" s="117">
        <v>12</v>
      </c>
      <c r="G787" s="117">
        <f>(($E787*$F787)*0.0025)</f>
        <v>120</v>
      </c>
      <c r="H787" s="117">
        <f t="shared" si="27"/>
        <v>8.4</v>
      </c>
      <c r="I787" s="38">
        <f t="shared" si="28"/>
        <v>-48128.4</v>
      </c>
    </row>
    <row r="788" spans="3:9" ht="11.25">
      <c r="C788" s="3" t="s">
        <v>490</v>
      </c>
      <c r="D788" s="4" t="s">
        <v>375</v>
      </c>
      <c r="E788" s="40">
        <v>6700</v>
      </c>
      <c r="F788" s="5">
        <v>4.2</v>
      </c>
      <c r="G788" s="5">
        <f>(($E788*$F788)*0.0025)</f>
        <v>70.35000000000001</v>
      </c>
      <c r="H788" s="5">
        <f t="shared" si="27"/>
        <v>4.924500000000001</v>
      </c>
      <c r="I788" s="39">
        <f t="shared" si="28"/>
        <v>-28215.2745</v>
      </c>
    </row>
    <row r="789" spans="1:9" ht="12" thickBot="1">
      <c r="A789" s="6"/>
      <c r="B789" s="42"/>
      <c r="C789" s="6"/>
      <c r="D789" s="7"/>
      <c r="E789" s="43"/>
      <c r="F789" s="8"/>
      <c r="G789" s="8"/>
      <c r="H789" s="13" t="s">
        <v>14</v>
      </c>
      <c r="I789" s="13">
        <f>SUM(I785:I788)</f>
        <v>-96255.04449999999</v>
      </c>
    </row>
    <row r="790" spans="1:10" ht="11.25">
      <c r="A790" s="3" t="s">
        <v>379</v>
      </c>
      <c r="B790" s="37">
        <f>B785+1</f>
        <v>38001</v>
      </c>
      <c r="C790" s="114" t="s">
        <v>28</v>
      </c>
      <c r="D790" s="115" t="s">
        <v>374</v>
      </c>
      <c r="E790" s="116">
        <v>4000</v>
      </c>
      <c r="F790" s="117">
        <v>11.9</v>
      </c>
      <c r="G790" s="117">
        <f>(($E790*$F790)*0.0025)</f>
        <v>119</v>
      </c>
      <c r="H790" s="117">
        <f t="shared" si="27"/>
        <v>8.33</v>
      </c>
      <c r="I790" s="38">
        <f t="shared" si="28"/>
        <v>47472.67</v>
      </c>
      <c r="J790" s="18">
        <f>SUM(I790,I787)</f>
        <v>-655.7300000000032</v>
      </c>
    </row>
    <row r="791" spans="3:10" ht="11.25">
      <c r="C791" s="114" t="s">
        <v>500</v>
      </c>
      <c r="D791" s="115" t="s">
        <v>374</v>
      </c>
      <c r="E791" s="116">
        <v>500</v>
      </c>
      <c r="F791" s="117">
        <v>132</v>
      </c>
      <c r="G791" s="117">
        <f>(($E791*$F791)*0.0025)</f>
        <v>165</v>
      </c>
      <c r="H791" s="117">
        <f t="shared" si="27"/>
        <v>11.55</v>
      </c>
      <c r="I791" s="38">
        <f t="shared" si="28"/>
        <v>65823.45</v>
      </c>
      <c r="J791" s="18">
        <f>SUM(I791,I785)</f>
        <v>-2358.449999999997</v>
      </c>
    </row>
    <row r="792" spans="3:10" ht="11.25">
      <c r="C792" s="114" t="s">
        <v>497</v>
      </c>
      <c r="D792" s="115" t="s">
        <v>374</v>
      </c>
      <c r="E792" s="116">
        <v>1000</v>
      </c>
      <c r="F792" s="117">
        <v>25.5</v>
      </c>
      <c r="G792" s="117">
        <f>(($E792*$F792)*0.0025)</f>
        <v>63.75</v>
      </c>
      <c r="H792" s="117">
        <f t="shared" si="27"/>
        <v>4.4625</v>
      </c>
      <c r="I792" s="38">
        <f t="shared" si="28"/>
        <v>25431.7875</v>
      </c>
      <c r="J792" s="18">
        <f>SUM(I792,I771)</f>
        <v>-1139.1000000000022</v>
      </c>
    </row>
    <row r="793" spans="1:9" ht="12" thickBot="1">
      <c r="A793" s="6"/>
      <c r="B793" s="42"/>
      <c r="C793" s="6"/>
      <c r="D793" s="7"/>
      <c r="E793" s="43"/>
      <c r="F793" s="8"/>
      <c r="G793" s="8"/>
      <c r="H793" s="14" t="s">
        <v>34</v>
      </c>
      <c r="I793" s="14">
        <f>SUM(I790:I792)</f>
        <v>138727.9075</v>
      </c>
    </row>
  </sheetData>
  <mergeCells count="2">
    <mergeCell ref="A1:H1"/>
    <mergeCell ref="A376:J37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workbookViewId="0" topLeftCell="A134">
      <selection activeCell="F158" sqref="F158"/>
    </sheetView>
  </sheetViews>
  <sheetFormatPr defaultColWidth="9.140625" defaultRowHeight="21.75"/>
  <cols>
    <col min="1" max="1" width="1.8515625" style="2" customWidth="1"/>
    <col min="2" max="2" width="10.57421875" style="3" customWidth="1"/>
    <col min="3" max="3" width="8.7109375" style="3" customWidth="1"/>
    <col min="4" max="4" width="8.57421875" style="3" customWidth="1"/>
    <col min="5" max="5" width="8.00390625" style="4" customWidth="1"/>
    <col min="6" max="6" width="10.140625" style="5" customWidth="1"/>
    <col min="7" max="7" width="7.8515625" style="5" customWidth="1"/>
    <col min="8" max="8" width="9.57421875" style="5" customWidth="1"/>
    <col min="9" max="9" width="2.28125" style="5" customWidth="1"/>
    <col min="10" max="10" width="10.8515625" style="2" customWidth="1"/>
    <col min="11" max="11" width="14.28125" style="2" customWidth="1"/>
    <col min="12" max="12" width="10.140625" style="2" customWidth="1"/>
    <col min="13" max="13" width="2.28125" style="2" customWidth="1"/>
    <col min="14" max="14" width="9.8515625" style="2" customWidth="1"/>
    <col min="15" max="15" width="1.57421875" style="2" customWidth="1"/>
    <col min="16" max="16384" width="14.7109375" style="2" customWidth="1"/>
  </cols>
  <sheetData>
    <row r="1" spans="1:15" ht="15.75">
      <c r="A1" s="83"/>
      <c r="B1" s="98"/>
      <c r="C1" s="98"/>
      <c r="D1" s="98"/>
      <c r="E1" s="99"/>
      <c r="F1" s="86"/>
      <c r="G1" s="100" t="s">
        <v>373</v>
      </c>
      <c r="H1" s="151">
        <v>37984</v>
      </c>
      <c r="I1" s="151"/>
      <c r="J1" s="151"/>
      <c r="K1" s="83"/>
      <c r="L1" s="83"/>
      <c r="M1" s="83"/>
      <c r="N1" s="83"/>
      <c r="O1" s="83"/>
    </row>
    <row r="2" spans="1:15" ht="11.25">
      <c r="A2" s="84"/>
      <c r="B2" s="152" t="s">
        <v>394</v>
      </c>
      <c r="C2" s="152"/>
      <c r="D2" s="152"/>
      <c r="E2" s="152"/>
      <c r="F2" s="152"/>
      <c r="G2" s="152"/>
      <c r="H2" s="152"/>
      <c r="I2" s="87"/>
      <c r="J2" s="91" t="s">
        <v>396</v>
      </c>
      <c r="K2" s="91"/>
      <c r="L2" s="70">
        <v>15924.678984803882</v>
      </c>
      <c r="M2" s="95"/>
      <c r="N2" s="96"/>
      <c r="O2" s="84"/>
    </row>
    <row r="3" spans="1:15" ht="11.25">
      <c r="A3" s="83"/>
      <c r="B3" s="68" t="s">
        <v>2</v>
      </c>
      <c r="C3" s="68" t="s">
        <v>4</v>
      </c>
      <c r="D3" s="68" t="s">
        <v>9</v>
      </c>
      <c r="E3" s="68" t="s">
        <v>10</v>
      </c>
      <c r="F3" s="68" t="s">
        <v>11</v>
      </c>
      <c r="G3" s="68" t="s">
        <v>12</v>
      </c>
      <c r="H3" s="68" t="s">
        <v>384</v>
      </c>
      <c r="I3" s="86"/>
      <c r="J3" s="91" t="s">
        <v>399</v>
      </c>
      <c r="K3" s="91"/>
      <c r="L3" s="104">
        <v>0</v>
      </c>
      <c r="M3" s="82" t="s">
        <v>395</v>
      </c>
      <c r="N3" s="106">
        <v>0</v>
      </c>
      <c r="O3" s="83"/>
    </row>
    <row r="4" spans="1:15" ht="11.25">
      <c r="A4" s="83"/>
      <c r="B4" s="69" t="s">
        <v>334</v>
      </c>
      <c r="C4" s="70">
        <v>300</v>
      </c>
      <c r="D4" s="71">
        <v>28.5</v>
      </c>
      <c r="E4" s="71">
        <v>29.25</v>
      </c>
      <c r="F4" s="71">
        <f aca="true" t="shared" si="0" ref="F4:F11">$C4*$E4</f>
        <v>8775</v>
      </c>
      <c r="G4" s="72">
        <f>$F4/$F19</f>
        <v>0.030554757834085063</v>
      </c>
      <c r="H4" s="71">
        <f aca="true" t="shared" si="1" ref="H4:H11">$F4-($C4*$D4)</f>
        <v>225</v>
      </c>
      <c r="I4" s="88"/>
      <c r="J4" s="91" t="s">
        <v>400</v>
      </c>
      <c r="K4" s="91"/>
      <c r="L4" s="104">
        <v>0</v>
      </c>
      <c r="M4" s="82" t="s">
        <v>395</v>
      </c>
      <c r="N4" s="131">
        <v>0</v>
      </c>
      <c r="O4" s="83"/>
    </row>
    <row r="5" spans="1:15" ht="11.25">
      <c r="A5" s="83"/>
      <c r="B5" s="69" t="s">
        <v>472</v>
      </c>
      <c r="C5" s="70">
        <v>1500</v>
      </c>
      <c r="D5" s="71">
        <v>14</v>
      </c>
      <c r="E5" s="71">
        <v>8.85</v>
      </c>
      <c r="F5" s="71">
        <f t="shared" si="0"/>
        <v>13275</v>
      </c>
      <c r="G5" s="72">
        <f>$F5/$F19</f>
        <v>0.04622386441566715</v>
      </c>
      <c r="H5" s="71">
        <f t="shared" si="1"/>
        <v>-7725</v>
      </c>
      <c r="I5" s="86"/>
      <c r="J5" s="101" t="s">
        <v>424</v>
      </c>
      <c r="K5" s="102"/>
      <c r="L5" s="105">
        <f>$L2-$L3+$L4</f>
        <v>15924.678984803882</v>
      </c>
      <c r="M5" s="83"/>
      <c r="N5" s="83"/>
      <c r="O5" s="83"/>
    </row>
    <row r="6" spans="1:15" ht="11.25">
      <c r="A6" s="83"/>
      <c r="B6" s="69" t="s">
        <v>405</v>
      </c>
      <c r="C6" s="70">
        <v>1100</v>
      </c>
      <c r="D6" s="71">
        <v>45.2</v>
      </c>
      <c r="E6" s="71">
        <v>42.25</v>
      </c>
      <c r="F6" s="71">
        <f t="shared" si="0"/>
        <v>46475</v>
      </c>
      <c r="G6" s="72">
        <f>$F6/$F19</f>
        <v>0.16182705075089496</v>
      </c>
      <c r="H6" s="71">
        <f t="shared" si="1"/>
        <v>-3245</v>
      </c>
      <c r="I6" s="88"/>
      <c r="J6" s="153" t="s">
        <v>30</v>
      </c>
      <c r="K6" s="153"/>
      <c r="L6" s="107">
        <f>$F19/$L5</f>
        <v>18.034229523784916</v>
      </c>
      <c r="M6" s="83"/>
      <c r="N6" s="83"/>
      <c r="O6" s="83"/>
    </row>
    <row r="7" spans="1:15" ht="11.25">
      <c r="A7" s="83"/>
      <c r="B7" s="69" t="s">
        <v>486</v>
      </c>
      <c r="C7" s="70">
        <v>300</v>
      </c>
      <c r="D7" s="71">
        <v>103.3</v>
      </c>
      <c r="E7" s="71">
        <v>104</v>
      </c>
      <c r="F7" s="71">
        <f t="shared" si="0"/>
        <v>31200</v>
      </c>
      <c r="G7" s="72">
        <f>$F7/$F19</f>
        <v>0.10863913896563579</v>
      </c>
      <c r="H7" s="71">
        <f t="shared" si="1"/>
        <v>210</v>
      </c>
      <c r="I7" s="86"/>
      <c r="J7" s="154" t="s">
        <v>385</v>
      </c>
      <c r="K7" s="154"/>
      <c r="L7" s="154"/>
      <c r="M7" s="83"/>
      <c r="N7" s="83"/>
      <c r="O7" s="83"/>
    </row>
    <row r="8" spans="1:15" ht="11.25">
      <c r="A8" s="83"/>
      <c r="B8" s="69" t="s">
        <v>490</v>
      </c>
      <c r="C8" s="70">
        <v>7000</v>
      </c>
      <c r="D8" s="71">
        <v>4</v>
      </c>
      <c r="E8" s="71">
        <v>3.88</v>
      </c>
      <c r="F8" s="71">
        <f t="shared" si="0"/>
        <v>27160</v>
      </c>
      <c r="G8" s="72">
        <f>$F8/$F19</f>
        <v>0.09457176327905986</v>
      </c>
      <c r="H8" s="71">
        <f t="shared" si="1"/>
        <v>-840</v>
      </c>
      <c r="I8" s="86"/>
      <c r="J8" s="92" t="s">
        <v>390</v>
      </c>
      <c r="K8" s="93"/>
      <c r="L8" s="136">
        <v>2546.5050000000965</v>
      </c>
      <c r="M8" s="83"/>
      <c r="N8" s="83"/>
      <c r="O8" s="83"/>
    </row>
    <row r="9" spans="1:15" ht="11.25">
      <c r="A9" s="83"/>
      <c r="B9" s="69" t="s">
        <v>320</v>
      </c>
      <c r="C9" s="70">
        <v>2000</v>
      </c>
      <c r="D9" s="71">
        <v>4.7</v>
      </c>
      <c r="E9" s="71">
        <v>4.02</v>
      </c>
      <c r="F9" s="71">
        <f t="shared" si="0"/>
        <v>8039.999999999999</v>
      </c>
      <c r="G9" s="72">
        <f>$F9/$F19</f>
        <v>0.027995470425759988</v>
      </c>
      <c r="H9" s="71">
        <f t="shared" si="1"/>
        <v>-1360.000000000001</v>
      </c>
      <c r="I9" s="88"/>
      <c r="J9" s="148" t="s">
        <v>388</v>
      </c>
      <c r="K9" s="148"/>
      <c r="L9" s="103">
        <v>-2000</v>
      </c>
      <c r="M9" s="83"/>
      <c r="N9" s="83"/>
      <c r="O9" s="83"/>
    </row>
    <row r="10" spans="1:15" ht="11.25">
      <c r="A10" s="83"/>
      <c r="B10" s="69" t="s">
        <v>382</v>
      </c>
      <c r="C10" s="70">
        <v>500</v>
      </c>
      <c r="D10" s="71">
        <v>38.7</v>
      </c>
      <c r="E10" s="71">
        <v>32.5</v>
      </c>
      <c r="F10" s="71">
        <f t="shared" si="0"/>
        <v>16250</v>
      </c>
      <c r="G10" s="72">
        <f>$F10/$F19</f>
        <v>0.0565828848779353</v>
      </c>
      <c r="H10" s="71">
        <f t="shared" si="1"/>
        <v>-3100</v>
      </c>
      <c r="I10" s="86"/>
      <c r="J10" s="148" t="s">
        <v>389</v>
      </c>
      <c r="K10" s="148"/>
      <c r="L10" s="103">
        <v>0</v>
      </c>
      <c r="M10" s="83"/>
      <c r="N10" s="83"/>
      <c r="O10" s="83"/>
    </row>
    <row r="11" spans="1:15" ht="11.25">
      <c r="A11" s="83"/>
      <c r="B11" s="69" t="s">
        <v>480</v>
      </c>
      <c r="C11" s="70">
        <v>7000</v>
      </c>
      <c r="D11" s="71">
        <v>6.7</v>
      </c>
      <c r="E11" s="71">
        <v>6.8</v>
      </c>
      <c r="F11" s="71">
        <f t="shared" si="0"/>
        <v>47600</v>
      </c>
      <c r="G11" s="72">
        <f>$F11/$F19</f>
        <v>0.1657443273962905</v>
      </c>
      <c r="H11" s="71">
        <f t="shared" si="1"/>
        <v>700</v>
      </c>
      <c r="I11" s="88"/>
      <c r="J11" s="147" t="s">
        <v>397</v>
      </c>
      <c r="K11" s="147"/>
      <c r="L11" s="110">
        <f>$L3*$N3</f>
        <v>0</v>
      </c>
      <c r="M11" s="83"/>
      <c r="N11" s="81"/>
      <c r="O11" s="83"/>
    </row>
    <row r="12" spans="1:15" ht="11.25">
      <c r="A12" s="83"/>
      <c r="B12" s="150" t="s">
        <v>31</v>
      </c>
      <c r="C12" s="150"/>
      <c r="D12" s="150"/>
      <c r="E12" s="73"/>
      <c r="F12" s="73">
        <f>SUM($F4:$F11)</f>
        <v>198775</v>
      </c>
      <c r="G12" s="74">
        <f>SUM($G4:$G11)</f>
        <v>0.6921392579453287</v>
      </c>
      <c r="H12" s="71">
        <f>SUM(H4:H11)</f>
        <v>-15135</v>
      </c>
      <c r="I12" s="86"/>
      <c r="J12" s="148" t="s">
        <v>393</v>
      </c>
      <c r="K12" s="148"/>
      <c r="L12" s="103">
        <v>0</v>
      </c>
      <c r="M12" s="94"/>
      <c r="N12" s="83"/>
      <c r="O12" s="83"/>
    </row>
    <row r="13" spans="1:15" ht="11.25">
      <c r="A13" s="83"/>
      <c r="B13" s="143" t="s">
        <v>386</v>
      </c>
      <c r="C13" s="143"/>
      <c r="D13" s="71"/>
      <c r="E13" s="71"/>
      <c r="F13" s="71">
        <v>88414.31590454742</v>
      </c>
      <c r="G13" s="85"/>
      <c r="H13" s="85"/>
      <c r="I13" s="86"/>
      <c r="J13" s="147" t="s">
        <v>398</v>
      </c>
      <c r="K13" s="147"/>
      <c r="L13" s="110">
        <v>0</v>
      </c>
      <c r="M13" s="83"/>
      <c r="N13" s="118"/>
      <c r="O13" s="83"/>
    </row>
    <row r="14" spans="1:15" ht="11.25">
      <c r="A14" s="83"/>
      <c r="B14" s="75" t="s">
        <v>14</v>
      </c>
      <c r="C14" s="75"/>
      <c r="D14" s="71"/>
      <c r="E14" s="71"/>
      <c r="F14" s="71">
        <v>0</v>
      </c>
      <c r="G14" s="85"/>
      <c r="H14" s="85"/>
      <c r="I14" s="86"/>
      <c r="J14" s="148" t="s">
        <v>392</v>
      </c>
      <c r="K14" s="148"/>
      <c r="L14" s="103">
        <v>0</v>
      </c>
      <c r="M14" s="83"/>
      <c r="N14" s="83"/>
      <c r="O14" s="83"/>
    </row>
    <row r="15" spans="1:15" ht="11.25">
      <c r="A15" s="83"/>
      <c r="B15" s="143" t="s">
        <v>34</v>
      </c>
      <c r="C15" s="143"/>
      <c r="D15" s="71"/>
      <c r="E15" s="71"/>
      <c r="F15" s="71">
        <v>0</v>
      </c>
      <c r="G15" s="85"/>
      <c r="H15" s="85">
        <f>SUM(F15:G15)</f>
        <v>0</v>
      </c>
      <c r="I15" s="86"/>
      <c r="J15" s="149" t="s">
        <v>391</v>
      </c>
      <c r="K15" s="149"/>
      <c r="L15" s="109">
        <f>SUM(L8:L10,L12,L14)</f>
        <v>546.5050000000965</v>
      </c>
      <c r="M15" s="83"/>
      <c r="N15" s="83"/>
      <c r="O15" s="83"/>
    </row>
    <row r="16" spans="1:15" ht="11.25">
      <c r="A16" s="83"/>
      <c r="B16" s="75" t="s">
        <v>151</v>
      </c>
      <c r="C16" s="75"/>
      <c r="D16" s="71"/>
      <c r="E16" s="71"/>
      <c r="F16" s="71">
        <v>0</v>
      </c>
      <c r="G16" s="85"/>
      <c r="H16" s="85"/>
      <c r="I16" s="86"/>
      <c r="J16" s="78" t="s">
        <v>324</v>
      </c>
      <c r="K16" s="78"/>
      <c r="L16" s="73">
        <v>161339.5593777974</v>
      </c>
      <c r="M16" s="83"/>
      <c r="N16" s="83"/>
      <c r="O16" s="83"/>
    </row>
    <row r="17" spans="1:15" ht="11.25">
      <c r="A17" s="83"/>
      <c r="B17" s="143" t="s">
        <v>133</v>
      </c>
      <c r="C17" s="143"/>
      <c r="D17" s="71"/>
      <c r="E17" s="71"/>
      <c r="F17" s="71">
        <v>0</v>
      </c>
      <c r="G17" s="85"/>
      <c r="H17" s="85"/>
      <c r="I17" s="86"/>
      <c r="J17" s="132" t="s">
        <v>181</v>
      </c>
      <c r="K17" s="132"/>
      <c r="L17" s="133">
        <f>SUM($L15:$L16)</f>
        <v>161886.0643777975</v>
      </c>
      <c r="M17" s="83"/>
      <c r="N17" s="83"/>
      <c r="O17" s="83"/>
    </row>
    <row r="18" spans="1:15" ht="13.5">
      <c r="A18" s="83"/>
      <c r="B18" s="144" t="s">
        <v>387</v>
      </c>
      <c r="C18" s="144"/>
      <c r="D18" s="144"/>
      <c r="E18" s="76"/>
      <c r="F18" s="73">
        <f>SUM($F13:$F17)</f>
        <v>88414.31590454742</v>
      </c>
      <c r="G18" s="74">
        <f>$F18/$F19</f>
        <v>0.30786074205467145</v>
      </c>
      <c r="H18" s="80">
        <v>37991</v>
      </c>
      <c r="I18" s="86"/>
      <c r="J18" s="145" t="s">
        <v>180</v>
      </c>
      <c r="K18" s="145"/>
      <c r="L18" s="108">
        <f>$F19+$L15+$L11+$L13</f>
        <v>287735.8209045475</v>
      </c>
      <c r="M18" s="83"/>
      <c r="N18" s="83"/>
      <c r="O18" s="83"/>
    </row>
    <row r="19" spans="1:15" ht="13.5">
      <c r="A19" s="83"/>
      <c r="B19" s="146" t="s">
        <v>18</v>
      </c>
      <c r="C19" s="146"/>
      <c r="D19" s="146"/>
      <c r="E19" s="77"/>
      <c r="F19" s="97">
        <f>SUM($F12,$F18)</f>
        <v>287189.3159045474</v>
      </c>
      <c r="G19" s="79">
        <f>SUM($G12,$G18)</f>
        <v>1.0000000000000002</v>
      </c>
      <c r="H19" s="89"/>
      <c r="I19" s="86"/>
      <c r="J19" s="83"/>
      <c r="K19" s="83"/>
      <c r="L19" s="83"/>
      <c r="M19" s="83"/>
      <c r="N19" s="83"/>
      <c r="O19" s="83"/>
    </row>
    <row r="20" spans="1:15" ht="11.25">
      <c r="A20" s="83"/>
      <c r="B20" s="83"/>
      <c r="C20" s="83"/>
      <c r="D20" s="83"/>
      <c r="E20" s="83"/>
      <c r="F20" s="83"/>
      <c r="G20" s="89"/>
      <c r="H20" s="90"/>
      <c r="I20" s="86"/>
      <c r="J20" s="83"/>
      <c r="K20" s="83"/>
      <c r="L20" s="83"/>
      <c r="M20" s="83"/>
      <c r="N20" s="83"/>
      <c r="O20" s="83"/>
    </row>
    <row r="21" spans="1:15" ht="15.75">
      <c r="A21" s="83"/>
      <c r="B21" s="98"/>
      <c r="C21" s="98"/>
      <c r="D21" s="98"/>
      <c r="E21" s="99"/>
      <c r="F21" s="86"/>
      <c r="G21" s="100" t="s">
        <v>402</v>
      </c>
      <c r="H21" s="151">
        <v>37985</v>
      </c>
      <c r="I21" s="151"/>
      <c r="J21" s="151"/>
      <c r="K21" s="83"/>
      <c r="L21" s="83"/>
      <c r="M21" s="83"/>
      <c r="N21" s="83"/>
      <c r="O21" s="83"/>
    </row>
    <row r="22" spans="1:15" ht="11.25">
      <c r="A22" s="84"/>
      <c r="B22" s="152" t="s">
        <v>394</v>
      </c>
      <c r="C22" s="152"/>
      <c r="D22" s="152"/>
      <c r="E22" s="152"/>
      <c r="F22" s="152"/>
      <c r="G22" s="152"/>
      <c r="H22" s="152"/>
      <c r="I22" s="87"/>
      <c r="J22" s="91" t="s">
        <v>396</v>
      </c>
      <c r="K22" s="91"/>
      <c r="L22" s="70">
        <v>15924.678984803882</v>
      </c>
      <c r="M22" s="95"/>
      <c r="N22" s="96"/>
      <c r="O22" s="84"/>
    </row>
    <row r="23" spans="1:15" ht="11.25">
      <c r="A23" s="83"/>
      <c r="B23" s="68" t="s">
        <v>2</v>
      </c>
      <c r="C23" s="68" t="s">
        <v>4</v>
      </c>
      <c r="D23" s="68" t="s">
        <v>9</v>
      </c>
      <c r="E23" s="68" t="s">
        <v>10</v>
      </c>
      <c r="F23" s="68" t="s">
        <v>11</v>
      </c>
      <c r="G23" s="68" t="s">
        <v>12</v>
      </c>
      <c r="H23" s="68" t="s">
        <v>384</v>
      </c>
      <c r="I23" s="86"/>
      <c r="J23" s="91" t="s">
        <v>399</v>
      </c>
      <c r="K23" s="91"/>
      <c r="L23" s="104">
        <v>0</v>
      </c>
      <c r="M23" s="82" t="s">
        <v>395</v>
      </c>
      <c r="N23" s="106">
        <v>0</v>
      </c>
      <c r="O23" s="83"/>
    </row>
    <row r="24" spans="1:15" ht="11.25">
      <c r="A24" s="83"/>
      <c r="B24" s="69" t="s">
        <v>334</v>
      </c>
      <c r="C24" s="70">
        <v>300</v>
      </c>
      <c r="D24" s="71">
        <v>28.5</v>
      </c>
      <c r="E24" s="71">
        <v>29.25</v>
      </c>
      <c r="F24" s="71">
        <f aca="true" t="shared" si="2" ref="F24:F31">$C24*$E24</f>
        <v>8775</v>
      </c>
      <c r="G24" s="72">
        <f>$F24/$F39</f>
        <v>0.030380169005918296</v>
      </c>
      <c r="H24" s="71">
        <f aca="true" t="shared" si="3" ref="H24:H31">$F24-($C24*$D24)</f>
        <v>225</v>
      </c>
      <c r="I24" s="88"/>
      <c r="J24" s="91" t="s">
        <v>400</v>
      </c>
      <c r="K24" s="91"/>
      <c r="L24" s="104">
        <v>0</v>
      </c>
      <c r="M24" s="82" t="s">
        <v>395</v>
      </c>
      <c r="N24" s="131">
        <v>0</v>
      </c>
      <c r="O24" s="83"/>
    </row>
    <row r="25" spans="1:15" ht="11.25">
      <c r="A25" s="83"/>
      <c r="B25" s="69" t="s">
        <v>472</v>
      </c>
      <c r="C25" s="70">
        <v>1500</v>
      </c>
      <c r="D25" s="71">
        <v>14</v>
      </c>
      <c r="E25" s="71">
        <v>8.85</v>
      </c>
      <c r="F25" s="71">
        <f t="shared" si="2"/>
        <v>13275</v>
      </c>
      <c r="G25" s="72">
        <f>$F25/$F39</f>
        <v>0.045959742855107164</v>
      </c>
      <c r="H25" s="71">
        <f t="shared" si="3"/>
        <v>-7725</v>
      </c>
      <c r="I25" s="86"/>
      <c r="J25" s="101" t="s">
        <v>424</v>
      </c>
      <c r="K25" s="102"/>
      <c r="L25" s="105">
        <f>$L22-$L23+$L24</f>
        <v>15924.678984803882</v>
      </c>
      <c r="M25" s="83"/>
      <c r="N25" s="83"/>
      <c r="O25" s="83"/>
    </row>
    <row r="26" spans="1:15" ht="11.25">
      <c r="A26" s="83"/>
      <c r="B26" s="69" t="s">
        <v>405</v>
      </c>
      <c r="C26" s="70">
        <v>1100</v>
      </c>
      <c r="D26" s="71">
        <v>45.2</v>
      </c>
      <c r="E26" s="71">
        <v>42</v>
      </c>
      <c r="F26" s="71">
        <f t="shared" si="2"/>
        <v>46200</v>
      </c>
      <c r="G26" s="72">
        <f>$F26/$F39</f>
        <v>0.15995029151833906</v>
      </c>
      <c r="H26" s="71">
        <f t="shared" si="3"/>
        <v>-3520</v>
      </c>
      <c r="I26" s="88"/>
      <c r="J26" s="153" t="s">
        <v>30</v>
      </c>
      <c r="K26" s="153"/>
      <c r="L26" s="107">
        <f>$F39/$L25</f>
        <v>18.137868677300975</v>
      </c>
      <c r="M26" s="83"/>
      <c r="N26" s="83"/>
      <c r="O26" s="83"/>
    </row>
    <row r="27" spans="1:15" ht="11.25">
      <c r="A27" s="83"/>
      <c r="B27" s="69" t="s">
        <v>486</v>
      </c>
      <c r="C27" s="70">
        <v>300</v>
      </c>
      <c r="D27" s="71">
        <v>103.3</v>
      </c>
      <c r="E27" s="71">
        <v>103</v>
      </c>
      <c r="F27" s="71">
        <f t="shared" si="2"/>
        <v>30900</v>
      </c>
      <c r="G27" s="72">
        <f>$F27/$F39</f>
        <v>0.10697974043109691</v>
      </c>
      <c r="H27" s="71">
        <f t="shared" si="3"/>
        <v>-90</v>
      </c>
      <c r="I27" s="86"/>
      <c r="J27" s="154" t="s">
        <v>385</v>
      </c>
      <c r="K27" s="154"/>
      <c r="L27" s="154"/>
      <c r="M27" s="83"/>
      <c r="N27" s="83"/>
      <c r="O27" s="83"/>
    </row>
    <row r="28" spans="1:15" ht="11.25">
      <c r="A28" s="83"/>
      <c r="B28" s="69" t="s">
        <v>490</v>
      </c>
      <c r="C28" s="70">
        <v>7000</v>
      </c>
      <c r="D28" s="71">
        <v>4</v>
      </c>
      <c r="E28" s="71">
        <v>3.8</v>
      </c>
      <c r="F28" s="71">
        <f t="shared" si="2"/>
        <v>26600</v>
      </c>
      <c r="G28" s="72">
        <f>$F28/$F39</f>
        <v>0.09209259208631643</v>
      </c>
      <c r="H28" s="71">
        <f t="shared" si="3"/>
        <v>-1400</v>
      </c>
      <c r="I28" s="86"/>
      <c r="J28" s="92" t="s">
        <v>390</v>
      </c>
      <c r="K28" s="93"/>
      <c r="L28" s="136">
        <v>546.5050000000965</v>
      </c>
      <c r="M28" s="83"/>
      <c r="N28" s="83"/>
      <c r="O28" s="83"/>
    </row>
    <row r="29" spans="1:15" ht="11.25">
      <c r="A29" s="83"/>
      <c r="B29" s="69" t="s">
        <v>320</v>
      </c>
      <c r="C29" s="70">
        <v>2000</v>
      </c>
      <c r="D29" s="71">
        <v>4.7</v>
      </c>
      <c r="E29" s="71">
        <v>4.06</v>
      </c>
      <c r="F29" s="71">
        <f t="shared" si="2"/>
        <v>8119.999999999999</v>
      </c>
      <c r="G29" s="72">
        <f>$F29/$F39</f>
        <v>0.0281124754789808</v>
      </c>
      <c r="H29" s="71">
        <f t="shared" si="3"/>
        <v>-1280.000000000001</v>
      </c>
      <c r="I29" s="88"/>
      <c r="J29" s="148" t="s">
        <v>388</v>
      </c>
      <c r="K29" s="148"/>
      <c r="L29" s="103">
        <v>0</v>
      </c>
      <c r="M29" s="83"/>
      <c r="N29" s="83"/>
      <c r="O29" s="83"/>
    </row>
    <row r="30" spans="1:15" ht="11.25">
      <c r="A30" s="83"/>
      <c r="B30" s="69" t="s">
        <v>28</v>
      </c>
      <c r="C30" s="70">
        <v>3000</v>
      </c>
      <c r="D30" s="71">
        <v>13.75</v>
      </c>
      <c r="E30" s="71">
        <v>13.9</v>
      </c>
      <c r="F30" s="71">
        <f t="shared" si="2"/>
        <v>41700</v>
      </c>
      <c r="G30" s="72">
        <f>$F30/$F39</f>
        <v>0.1443707176691502</v>
      </c>
      <c r="H30" s="71">
        <f t="shared" si="3"/>
        <v>450</v>
      </c>
      <c r="I30" s="86"/>
      <c r="J30" s="148" t="s">
        <v>389</v>
      </c>
      <c r="K30" s="148"/>
      <c r="L30" s="103">
        <v>0</v>
      </c>
      <c r="M30" s="83"/>
      <c r="N30" s="83"/>
      <c r="O30" s="83"/>
    </row>
    <row r="31" spans="1:15" ht="11.25">
      <c r="A31" s="83"/>
      <c r="B31" s="69" t="s">
        <v>480</v>
      </c>
      <c r="C31" s="70">
        <v>8000</v>
      </c>
      <c r="D31" s="71">
        <v>6.73</v>
      </c>
      <c r="E31" s="71">
        <v>7.05</v>
      </c>
      <c r="F31" s="71">
        <f t="shared" si="2"/>
        <v>56400</v>
      </c>
      <c r="G31" s="72">
        <f>$F31/$F39</f>
        <v>0.19526399224316718</v>
      </c>
      <c r="H31" s="71">
        <f t="shared" si="3"/>
        <v>2560</v>
      </c>
      <c r="I31" s="88"/>
      <c r="J31" s="147" t="s">
        <v>397</v>
      </c>
      <c r="K31" s="147"/>
      <c r="L31" s="110">
        <f>$L23*$N23</f>
        <v>0</v>
      </c>
      <c r="M31" s="83"/>
      <c r="N31" s="81"/>
      <c r="O31" s="83"/>
    </row>
    <row r="32" spans="1:15" ht="11.25">
      <c r="A32" s="83"/>
      <c r="B32" s="150" t="s">
        <v>31</v>
      </c>
      <c r="C32" s="150"/>
      <c r="D32" s="150"/>
      <c r="E32" s="73"/>
      <c r="F32" s="73">
        <f>SUM($F24:$F31)</f>
        <v>231970</v>
      </c>
      <c r="G32" s="74">
        <f>SUM($G24:$G31)</f>
        <v>0.803109721288076</v>
      </c>
      <c r="H32" s="71">
        <f>SUM(H24:H31)</f>
        <v>-10780</v>
      </c>
      <c r="I32" s="86"/>
      <c r="J32" s="148" t="s">
        <v>393</v>
      </c>
      <c r="K32" s="148"/>
      <c r="L32" s="103">
        <v>0</v>
      </c>
      <c r="M32" s="94"/>
      <c r="N32" s="83"/>
      <c r="O32" s="83"/>
    </row>
    <row r="33" spans="1:15" ht="11.25">
      <c r="A33" s="83"/>
      <c r="B33" s="143" t="s">
        <v>386</v>
      </c>
      <c r="C33" s="143"/>
      <c r="D33" s="71"/>
      <c r="E33" s="71"/>
      <c r="F33" s="71">
        <v>88414.31590454742</v>
      </c>
      <c r="G33" s="85"/>
      <c r="H33" s="85"/>
      <c r="I33" s="86"/>
      <c r="J33" s="147" t="s">
        <v>398</v>
      </c>
      <c r="K33" s="147"/>
      <c r="L33" s="110">
        <v>0</v>
      </c>
      <c r="M33" s="83"/>
      <c r="N33" s="118"/>
      <c r="O33" s="83"/>
    </row>
    <row r="34" spans="1:15" ht="11.25">
      <c r="A34" s="83"/>
      <c r="B34" s="75" t="s">
        <v>14</v>
      </c>
      <c r="C34" s="75"/>
      <c r="D34" s="71"/>
      <c r="E34" s="71"/>
      <c r="F34" s="71">
        <v>-31544.579750000008</v>
      </c>
      <c r="G34" s="85"/>
      <c r="H34" s="85"/>
      <c r="I34" s="86"/>
      <c r="J34" s="148" t="s">
        <v>392</v>
      </c>
      <c r="K34" s="148"/>
      <c r="L34" s="103">
        <v>0</v>
      </c>
      <c r="M34" s="83"/>
      <c r="N34" s="83"/>
      <c r="O34" s="83"/>
    </row>
    <row r="35" spans="1:15" ht="11.25">
      <c r="A35" s="83"/>
      <c r="B35" s="143" t="s">
        <v>34</v>
      </c>
      <c r="C35" s="143"/>
      <c r="D35" s="71"/>
      <c r="E35" s="71"/>
      <c r="F35" s="71">
        <v>0</v>
      </c>
      <c r="G35" s="85"/>
      <c r="H35" s="85">
        <f>SUM(F35:G35)</f>
        <v>0</v>
      </c>
      <c r="I35" s="86"/>
      <c r="J35" s="149" t="s">
        <v>391</v>
      </c>
      <c r="K35" s="149"/>
      <c r="L35" s="109">
        <f>SUM(L28:L30,L32,L34)</f>
        <v>546.5050000000965</v>
      </c>
      <c r="M35" s="83"/>
      <c r="N35" s="83"/>
      <c r="O35" s="83"/>
    </row>
    <row r="36" spans="1:15" ht="11.25">
      <c r="A36" s="83"/>
      <c r="B36" s="75" t="s">
        <v>151</v>
      </c>
      <c r="C36" s="75"/>
      <c r="D36" s="71"/>
      <c r="E36" s="71"/>
      <c r="F36" s="71">
        <v>0</v>
      </c>
      <c r="G36" s="85"/>
      <c r="H36" s="85"/>
      <c r="I36" s="86"/>
      <c r="J36" s="78" t="s">
        <v>324</v>
      </c>
      <c r="K36" s="78"/>
      <c r="L36" s="73">
        <v>117823.46437779741</v>
      </c>
      <c r="M36" s="83"/>
      <c r="N36" s="83"/>
      <c r="O36" s="83"/>
    </row>
    <row r="37" spans="1:15" ht="11.25">
      <c r="A37" s="83"/>
      <c r="B37" s="143" t="s">
        <v>133</v>
      </c>
      <c r="C37" s="143"/>
      <c r="D37" s="71"/>
      <c r="E37" s="71"/>
      <c r="F37" s="71">
        <v>0</v>
      </c>
      <c r="G37" s="85"/>
      <c r="H37" s="85"/>
      <c r="I37" s="86"/>
      <c r="J37" s="132" t="s">
        <v>181</v>
      </c>
      <c r="K37" s="132"/>
      <c r="L37" s="133">
        <f>SUM($L35:$L36)</f>
        <v>118369.9693777975</v>
      </c>
      <c r="M37" s="83"/>
      <c r="N37" s="83"/>
      <c r="O37" s="83"/>
    </row>
    <row r="38" spans="1:15" ht="13.5">
      <c r="A38" s="83"/>
      <c r="B38" s="144" t="s">
        <v>387</v>
      </c>
      <c r="C38" s="144"/>
      <c r="D38" s="144"/>
      <c r="E38" s="76"/>
      <c r="F38" s="73">
        <f>SUM($F33:$F37)</f>
        <v>56869.73615454741</v>
      </c>
      <c r="G38" s="74">
        <f>$F38/$F39</f>
        <v>0.1968902787119239</v>
      </c>
      <c r="H38" s="80">
        <f>H18+1</f>
        <v>37992</v>
      </c>
      <c r="I38" s="86"/>
      <c r="J38" s="145" t="s">
        <v>180</v>
      </c>
      <c r="K38" s="145"/>
      <c r="L38" s="108">
        <f>$F39+$L35+$L31+$L33</f>
        <v>289386.24115454755</v>
      </c>
      <c r="M38" s="83"/>
      <c r="N38" s="83"/>
      <c r="O38" s="83"/>
    </row>
    <row r="39" spans="1:15" ht="13.5">
      <c r="A39" s="83"/>
      <c r="B39" s="146" t="s">
        <v>18</v>
      </c>
      <c r="C39" s="146"/>
      <c r="D39" s="146"/>
      <c r="E39" s="77"/>
      <c r="F39" s="97">
        <f>SUM($F32,$F38)</f>
        <v>288839.7361545474</v>
      </c>
      <c r="G39" s="79">
        <f>SUM($G32,$G38)</f>
        <v>0.9999999999999999</v>
      </c>
      <c r="H39" s="89"/>
      <c r="I39" s="86"/>
      <c r="J39" s="83"/>
      <c r="K39" s="83"/>
      <c r="L39" s="83"/>
      <c r="M39" s="83"/>
      <c r="N39" s="83"/>
      <c r="O39" s="83"/>
    </row>
    <row r="40" spans="1:15" ht="11.25">
      <c r="A40" s="83"/>
      <c r="B40" s="83"/>
      <c r="C40" s="83"/>
      <c r="D40" s="83"/>
      <c r="E40" s="83"/>
      <c r="F40" s="83"/>
      <c r="G40" s="89"/>
      <c r="H40" s="90"/>
      <c r="I40" s="86"/>
      <c r="J40" s="83"/>
      <c r="K40" s="83"/>
      <c r="L40" s="83"/>
      <c r="M40" s="83"/>
      <c r="N40" s="83"/>
      <c r="O40" s="83"/>
    </row>
    <row r="41" spans="1:15" ht="15.75">
      <c r="A41" s="83"/>
      <c r="B41" s="98"/>
      <c r="C41" s="98"/>
      <c r="D41" s="98"/>
      <c r="E41" s="99"/>
      <c r="F41" s="86"/>
      <c r="G41" s="100" t="s">
        <v>377</v>
      </c>
      <c r="H41" s="151">
        <v>37986</v>
      </c>
      <c r="I41" s="151"/>
      <c r="J41" s="151"/>
      <c r="K41" s="83"/>
      <c r="L41" s="83"/>
      <c r="M41" s="83"/>
      <c r="N41" s="83"/>
      <c r="O41" s="83"/>
    </row>
    <row r="42" spans="1:15" ht="11.25">
      <c r="A42" s="84"/>
      <c r="B42" s="152" t="s">
        <v>394</v>
      </c>
      <c r="C42" s="152"/>
      <c r="D42" s="152"/>
      <c r="E42" s="152"/>
      <c r="F42" s="152"/>
      <c r="G42" s="152"/>
      <c r="H42" s="152"/>
      <c r="I42" s="87"/>
      <c r="J42" s="91" t="s">
        <v>396</v>
      </c>
      <c r="K42" s="91"/>
      <c r="L42" s="70">
        <v>15924.678984803882</v>
      </c>
      <c r="M42" s="95"/>
      <c r="N42" s="96"/>
      <c r="O42" s="84"/>
    </row>
    <row r="43" spans="1:15" ht="11.25">
      <c r="A43" s="83"/>
      <c r="B43" s="68" t="s">
        <v>2</v>
      </c>
      <c r="C43" s="68" t="s">
        <v>4</v>
      </c>
      <c r="D43" s="68" t="s">
        <v>9</v>
      </c>
      <c r="E43" s="68" t="s">
        <v>10</v>
      </c>
      <c r="F43" s="68" t="s">
        <v>11</v>
      </c>
      <c r="G43" s="68" t="s">
        <v>12</v>
      </c>
      <c r="H43" s="68" t="s">
        <v>384</v>
      </c>
      <c r="I43" s="86"/>
      <c r="J43" s="91" t="s">
        <v>399</v>
      </c>
      <c r="K43" s="91"/>
      <c r="L43" s="104">
        <v>0</v>
      </c>
      <c r="M43" s="82" t="s">
        <v>395</v>
      </c>
      <c r="N43" s="106">
        <v>0</v>
      </c>
      <c r="O43" s="83"/>
    </row>
    <row r="44" spans="1:15" ht="11.25">
      <c r="A44" s="83"/>
      <c r="B44" s="69" t="s">
        <v>334</v>
      </c>
      <c r="C44" s="70">
        <v>300</v>
      </c>
      <c r="D44" s="71">
        <v>28.5</v>
      </c>
      <c r="E44" s="71">
        <v>29.25</v>
      </c>
      <c r="F44" s="71">
        <f aca="true" t="shared" si="4" ref="F44:F51">$C44*$E44</f>
        <v>8775</v>
      </c>
      <c r="G44" s="72">
        <f>$F44/$F59</f>
        <v>0.030284139133430577</v>
      </c>
      <c r="H44" s="71">
        <f aca="true" t="shared" si="5" ref="H44:H51">$F44-($C44*$D44)</f>
        <v>225</v>
      </c>
      <c r="I44" s="88"/>
      <c r="J44" s="91" t="s">
        <v>400</v>
      </c>
      <c r="K44" s="91"/>
      <c r="L44" s="104">
        <v>0</v>
      </c>
      <c r="M44" s="82" t="s">
        <v>395</v>
      </c>
      <c r="N44" s="131">
        <v>0</v>
      </c>
      <c r="O44" s="83"/>
    </row>
    <row r="45" spans="1:15" ht="11.25">
      <c r="A45" s="83"/>
      <c r="B45" s="69" t="s">
        <v>472</v>
      </c>
      <c r="C45" s="70">
        <v>1500</v>
      </c>
      <c r="D45" s="71">
        <v>14</v>
      </c>
      <c r="E45" s="71">
        <v>8.9</v>
      </c>
      <c r="F45" s="71">
        <f t="shared" si="4"/>
        <v>13350</v>
      </c>
      <c r="G45" s="72">
        <f>$F45/$F59</f>
        <v>0.04607330569017643</v>
      </c>
      <c r="H45" s="71">
        <f t="shared" si="5"/>
        <v>-7650</v>
      </c>
      <c r="I45" s="86"/>
      <c r="J45" s="101" t="s">
        <v>424</v>
      </c>
      <c r="K45" s="102"/>
      <c r="L45" s="105">
        <f>$L42-$L43+$L44</f>
        <v>15924.678984803882</v>
      </c>
      <c r="M45" s="83"/>
      <c r="N45" s="83"/>
      <c r="O45" s="83"/>
    </row>
    <row r="46" spans="1:15" ht="11.25">
      <c r="A46" s="83"/>
      <c r="B46" s="69" t="s">
        <v>486</v>
      </c>
      <c r="C46" s="70">
        <v>300</v>
      </c>
      <c r="D46" s="71">
        <v>103.3</v>
      </c>
      <c r="E46" s="71">
        <v>104</v>
      </c>
      <c r="F46" s="71">
        <f t="shared" si="4"/>
        <v>31200</v>
      </c>
      <c r="G46" s="72">
        <f>$F46/$F59</f>
        <v>0.10767693914108649</v>
      </c>
      <c r="H46" s="71">
        <f t="shared" si="5"/>
        <v>210</v>
      </c>
      <c r="I46" s="88"/>
      <c r="J46" s="153" t="s">
        <v>30</v>
      </c>
      <c r="K46" s="153"/>
      <c r="L46" s="107">
        <f>$F59/$L45</f>
        <v>18.19538318047394</v>
      </c>
      <c r="M46" s="83"/>
      <c r="N46" s="83"/>
      <c r="O46" s="83"/>
    </row>
    <row r="47" spans="1:15" ht="11.25">
      <c r="A47" s="83"/>
      <c r="B47" s="69" t="s">
        <v>490</v>
      </c>
      <c r="C47" s="70">
        <v>7000</v>
      </c>
      <c r="D47" s="71">
        <v>4</v>
      </c>
      <c r="E47" s="71">
        <v>3.88</v>
      </c>
      <c r="F47" s="71">
        <f t="shared" si="4"/>
        <v>27160</v>
      </c>
      <c r="G47" s="72">
        <f>$F47/$F59</f>
        <v>0.09373415599589452</v>
      </c>
      <c r="H47" s="71">
        <f t="shared" si="5"/>
        <v>-840</v>
      </c>
      <c r="I47" s="86"/>
      <c r="J47" s="154" t="s">
        <v>385</v>
      </c>
      <c r="K47" s="154"/>
      <c r="L47" s="154"/>
      <c r="M47" s="83"/>
      <c r="N47" s="83"/>
      <c r="O47" s="83"/>
    </row>
    <row r="48" spans="1:15" ht="11.25">
      <c r="A48" s="83"/>
      <c r="B48" s="69" t="s">
        <v>320</v>
      </c>
      <c r="C48" s="70">
        <v>2000</v>
      </c>
      <c r="D48" s="71">
        <v>4.7</v>
      </c>
      <c r="E48" s="71">
        <v>4.02</v>
      </c>
      <c r="F48" s="71">
        <f t="shared" si="4"/>
        <v>8039.999999999999</v>
      </c>
      <c r="G48" s="72">
        <f>$F48/$F59</f>
        <v>0.027747518932510748</v>
      </c>
      <c r="H48" s="71">
        <f t="shared" si="5"/>
        <v>-1360.000000000001</v>
      </c>
      <c r="I48" s="86"/>
      <c r="J48" s="92" t="s">
        <v>390</v>
      </c>
      <c r="K48" s="93"/>
      <c r="L48" s="136">
        <v>546.5050000000965</v>
      </c>
      <c r="M48" s="83"/>
      <c r="N48" s="83"/>
      <c r="O48" s="83"/>
    </row>
    <row r="49" spans="1:15" ht="11.25">
      <c r="A49" s="83"/>
      <c r="B49" s="69" t="s">
        <v>28</v>
      </c>
      <c r="C49" s="70">
        <v>5000</v>
      </c>
      <c r="D49" s="71">
        <v>14.2</v>
      </c>
      <c r="E49" s="71">
        <v>14.1</v>
      </c>
      <c r="F49" s="71">
        <f t="shared" si="4"/>
        <v>70500</v>
      </c>
      <c r="G49" s="72">
        <f>$F49/$F59</f>
        <v>0.24330846825149352</v>
      </c>
      <c r="H49" s="71">
        <f t="shared" si="5"/>
        <v>-500</v>
      </c>
      <c r="I49" s="88"/>
      <c r="J49" s="148" t="s">
        <v>388</v>
      </c>
      <c r="K49" s="148"/>
      <c r="L49" s="103">
        <v>0</v>
      </c>
      <c r="M49" s="83"/>
      <c r="N49" s="83"/>
      <c r="O49" s="83"/>
    </row>
    <row r="50" spans="1:15" ht="11.25">
      <c r="A50" s="83"/>
      <c r="B50" s="69" t="s">
        <v>480</v>
      </c>
      <c r="C50" s="70">
        <v>8000</v>
      </c>
      <c r="D50" s="71">
        <v>6.73</v>
      </c>
      <c r="E50" s="71">
        <v>7.15</v>
      </c>
      <c r="F50" s="71">
        <f t="shared" si="4"/>
        <v>57200</v>
      </c>
      <c r="G50" s="72">
        <f>$F50/$F59</f>
        <v>0.19740772175865856</v>
      </c>
      <c r="H50" s="71">
        <f t="shared" si="5"/>
        <v>3360</v>
      </c>
      <c r="I50" s="86"/>
      <c r="J50" s="148" t="s">
        <v>389</v>
      </c>
      <c r="K50" s="148"/>
      <c r="L50" s="103">
        <v>0</v>
      </c>
      <c r="M50" s="83"/>
      <c r="N50" s="83"/>
      <c r="O50" s="83"/>
    </row>
    <row r="51" spans="1:15" ht="11.25">
      <c r="A51" s="83"/>
      <c r="B51" s="69" t="s">
        <v>488</v>
      </c>
      <c r="C51" s="70">
        <v>9000</v>
      </c>
      <c r="D51" s="71">
        <v>5.8</v>
      </c>
      <c r="E51" s="71">
        <v>5.75</v>
      </c>
      <c r="F51" s="71">
        <f t="shared" si="4"/>
        <v>51750</v>
      </c>
      <c r="G51" s="72">
        <f>$F51/$F59</f>
        <v>0.17859876924843673</v>
      </c>
      <c r="H51" s="71">
        <f t="shared" si="5"/>
        <v>-450</v>
      </c>
      <c r="I51" s="88"/>
      <c r="J51" s="147" t="s">
        <v>397</v>
      </c>
      <c r="K51" s="147"/>
      <c r="L51" s="110">
        <f>$L43*$N43</f>
        <v>0</v>
      </c>
      <c r="M51" s="83"/>
      <c r="N51" s="81"/>
      <c r="O51" s="83"/>
    </row>
    <row r="52" spans="1:15" ht="11.25">
      <c r="A52" s="83"/>
      <c r="B52" s="150" t="s">
        <v>31</v>
      </c>
      <c r="C52" s="150"/>
      <c r="D52" s="150"/>
      <c r="E52" s="73"/>
      <c r="F52" s="73">
        <f>SUM($F44:$F51)</f>
        <v>267975</v>
      </c>
      <c r="G52" s="74">
        <f>SUM($G44:$G51)</f>
        <v>0.9248310181516877</v>
      </c>
      <c r="H52" s="71">
        <f>SUM(H44:H51)</f>
        <v>-7005</v>
      </c>
      <c r="I52" s="86"/>
      <c r="J52" s="148" t="s">
        <v>393</v>
      </c>
      <c r="K52" s="148"/>
      <c r="L52" s="103">
        <v>0</v>
      </c>
      <c r="M52" s="94"/>
      <c r="N52" s="83"/>
      <c r="O52" s="83"/>
    </row>
    <row r="53" spans="1:15" ht="11.25">
      <c r="A53" s="83"/>
      <c r="B53" s="143" t="s">
        <v>386</v>
      </c>
      <c r="C53" s="143"/>
      <c r="D53" s="71"/>
      <c r="E53" s="71"/>
      <c r="F53" s="71">
        <v>56869.73615454741</v>
      </c>
      <c r="G53" s="85"/>
      <c r="H53" s="85"/>
      <c r="I53" s="86"/>
      <c r="J53" s="147" t="s">
        <v>398</v>
      </c>
      <c r="K53" s="147"/>
      <c r="L53" s="110">
        <v>0</v>
      </c>
      <c r="M53" s="83"/>
      <c r="N53" s="118"/>
      <c r="O53" s="83"/>
    </row>
    <row r="54" spans="1:15" ht="11.25">
      <c r="A54" s="83"/>
      <c r="B54" s="75" t="s">
        <v>14</v>
      </c>
      <c r="C54" s="75"/>
      <c r="D54" s="71"/>
      <c r="E54" s="71"/>
      <c r="F54" s="71">
        <v>-35089.1</v>
      </c>
      <c r="G54" s="85"/>
      <c r="H54" s="85"/>
      <c r="I54" s="86"/>
      <c r="J54" s="148" t="s">
        <v>392</v>
      </c>
      <c r="K54" s="148"/>
      <c r="L54" s="103">
        <v>0</v>
      </c>
      <c r="M54" s="83"/>
      <c r="N54" s="83"/>
      <c r="O54" s="83"/>
    </row>
    <row r="55" spans="1:15" ht="11.25">
      <c r="A55" s="83"/>
      <c r="B55" s="143" t="s">
        <v>34</v>
      </c>
      <c r="C55" s="143"/>
      <c r="D55" s="71"/>
      <c r="E55" s="71"/>
      <c r="F55" s="71">
        <v>0</v>
      </c>
      <c r="G55" s="85"/>
      <c r="H55" s="85">
        <f>SUM(F55:G55)</f>
        <v>0</v>
      </c>
      <c r="I55" s="86"/>
      <c r="J55" s="149" t="s">
        <v>391</v>
      </c>
      <c r="K55" s="149"/>
      <c r="L55" s="109">
        <f>SUM(L48:L50,L52,L54)</f>
        <v>546.5050000000965</v>
      </c>
      <c r="M55" s="83"/>
      <c r="N55" s="83"/>
      <c r="O55" s="83"/>
    </row>
    <row r="56" spans="1:15" ht="11.25">
      <c r="A56" s="83"/>
      <c r="B56" s="75" t="s">
        <v>151</v>
      </c>
      <c r="C56" s="75"/>
      <c r="D56" s="71"/>
      <c r="E56" s="71"/>
      <c r="F56" s="71">
        <v>0</v>
      </c>
      <c r="G56" s="85"/>
      <c r="H56" s="85"/>
      <c r="I56" s="86"/>
      <c r="J56" s="78" t="s">
        <v>324</v>
      </c>
      <c r="K56" s="78"/>
      <c r="L56" s="73">
        <v>88414.31590454742</v>
      </c>
      <c r="M56" s="83"/>
      <c r="N56" s="83"/>
      <c r="O56" s="83"/>
    </row>
    <row r="57" spans="1:15" ht="11.25">
      <c r="A57" s="83"/>
      <c r="B57" s="143" t="s">
        <v>133</v>
      </c>
      <c r="C57" s="143"/>
      <c r="D57" s="71"/>
      <c r="E57" s="71"/>
      <c r="F57" s="71">
        <v>0</v>
      </c>
      <c r="G57" s="85"/>
      <c r="H57" s="85"/>
      <c r="I57" s="86"/>
      <c r="J57" s="132" t="s">
        <v>181</v>
      </c>
      <c r="K57" s="132"/>
      <c r="L57" s="133">
        <f>SUM($L55:$L56)</f>
        <v>88960.82090454751</v>
      </c>
      <c r="M57" s="83"/>
      <c r="N57" s="83"/>
      <c r="O57" s="83"/>
    </row>
    <row r="58" spans="1:15" ht="13.5">
      <c r="A58" s="83"/>
      <c r="B58" s="144" t="s">
        <v>387</v>
      </c>
      <c r="C58" s="144"/>
      <c r="D58" s="144"/>
      <c r="E58" s="76"/>
      <c r="F58" s="73">
        <f>SUM($F53:$F57)</f>
        <v>21780.636154547414</v>
      </c>
      <c r="G58" s="74">
        <f>$F58/$F59</f>
        <v>0.0751689818483125</v>
      </c>
      <c r="H58" s="80">
        <f>H38+1</f>
        <v>37993</v>
      </c>
      <c r="I58" s="86"/>
      <c r="J58" s="145" t="s">
        <v>180</v>
      </c>
      <c r="K58" s="145"/>
      <c r="L58" s="108">
        <f>$F59+$L55+$L51+$L53</f>
        <v>290302.1411545475</v>
      </c>
      <c r="M58" s="83"/>
      <c r="N58" s="83"/>
      <c r="O58" s="83"/>
    </row>
    <row r="59" spans="1:15" ht="13.5">
      <c r="A59" s="83"/>
      <c r="B59" s="146" t="s">
        <v>18</v>
      </c>
      <c r="C59" s="146"/>
      <c r="D59" s="146"/>
      <c r="E59" s="77"/>
      <c r="F59" s="97">
        <f>SUM($F52,$F58)</f>
        <v>289755.6361545474</v>
      </c>
      <c r="G59" s="79">
        <f>SUM($G52,$G58)</f>
        <v>1.0000000000000002</v>
      </c>
      <c r="H59" s="89"/>
      <c r="I59" s="86"/>
      <c r="J59" s="83"/>
      <c r="K59" s="83"/>
      <c r="L59" s="83"/>
      <c r="M59" s="83"/>
      <c r="N59" s="83"/>
      <c r="O59" s="83"/>
    </row>
    <row r="60" spans="1:15" ht="11.25">
      <c r="A60" s="83"/>
      <c r="B60" s="83"/>
      <c r="C60" s="83"/>
      <c r="D60" s="83"/>
      <c r="E60" s="83"/>
      <c r="F60" s="83"/>
      <c r="G60" s="89"/>
      <c r="H60" s="90"/>
      <c r="I60" s="86"/>
      <c r="J60" s="83"/>
      <c r="K60" s="83"/>
      <c r="L60" s="83"/>
      <c r="M60" s="83"/>
      <c r="N60" s="83"/>
      <c r="O60" s="83"/>
    </row>
    <row r="61" spans="1:15" ht="15.75">
      <c r="A61" s="83"/>
      <c r="B61" s="98"/>
      <c r="C61" s="98"/>
      <c r="D61" s="98"/>
      <c r="E61" s="99"/>
      <c r="F61" s="86"/>
      <c r="G61" s="100" t="s">
        <v>373</v>
      </c>
      <c r="H61" s="151">
        <f>H41+5</f>
        <v>37991</v>
      </c>
      <c r="I61" s="151"/>
      <c r="J61" s="151"/>
      <c r="K61" s="83"/>
      <c r="L61" s="83"/>
      <c r="M61" s="83"/>
      <c r="N61" s="83"/>
      <c r="O61" s="83"/>
    </row>
    <row r="62" spans="1:15" ht="11.25">
      <c r="A62" s="84"/>
      <c r="B62" s="152" t="s">
        <v>394</v>
      </c>
      <c r="C62" s="152"/>
      <c r="D62" s="152"/>
      <c r="E62" s="152"/>
      <c r="F62" s="152"/>
      <c r="G62" s="152"/>
      <c r="H62" s="152"/>
      <c r="I62" s="87"/>
      <c r="J62" s="91" t="s">
        <v>396</v>
      </c>
      <c r="K62" s="91"/>
      <c r="L62" s="70">
        <v>15924.678984803882</v>
      </c>
      <c r="M62" s="95"/>
      <c r="N62" s="96"/>
      <c r="O62" s="84"/>
    </row>
    <row r="63" spans="1:15" ht="11.25">
      <c r="A63" s="83"/>
      <c r="B63" s="68" t="s">
        <v>2</v>
      </c>
      <c r="C63" s="68" t="s">
        <v>4</v>
      </c>
      <c r="D63" s="68" t="s">
        <v>9</v>
      </c>
      <c r="E63" s="68" t="s">
        <v>10</v>
      </c>
      <c r="F63" s="68" t="s">
        <v>11</v>
      </c>
      <c r="G63" s="68" t="s">
        <v>12</v>
      </c>
      <c r="H63" s="68" t="s">
        <v>384</v>
      </c>
      <c r="I63" s="86"/>
      <c r="J63" s="91" t="s">
        <v>399</v>
      </c>
      <c r="K63" s="91"/>
      <c r="L63" s="104">
        <v>0</v>
      </c>
      <c r="M63" s="82" t="s">
        <v>395</v>
      </c>
      <c r="N63" s="106">
        <v>0</v>
      </c>
      <c r="O63" s="83"/>
    </row>
    <row r="64" spans="1:15" ht="11.25">
      <c r="A64" s="83"/>
      <c r="B64" s="69" t="s">
        <v>334</v>
      </c>
      <c r="C64" s="70">
        <v>300</v>
      </c>
      <c r="D64" s="71">
        <v>28.5</v>
      </c>
      <c r="E64" s="71">
        <v>31</v>
      </c>
      <c r="F64" s="71">
        <f aca="true" t="shared" si="6" ref="F64:F70">$C64*$E64</f>
        <v>9300</v>
      </c>
      <c r="G64" s="72">
        <f>$F64/$F79</f>
        <v>0.030230837196708323</v>
      </c>
      <c r="H64" s="71">
        <f aca="true" t="shared" si="7" ref="H64:H70">$F64-($C64*$D64)</f>
        <v>750</v>
      </c>
      <c r="I64" s="88"/>
      <c r="J64" s="91" t="s">
        <v>400</v>
      </c>
      <c r="K64" s="91"/>
      <c r="L64" s="104">
        <v>0</v>
      </c>
      <c r="M64" s="82" t="s">
        <v>395</v>
      </c>
      <c r="N64" s="131">
        <v>0</v>
      </c>
      <c r="O64" s="83"/>
    </row>
    <row r="65" spans="1:15" ht="11.25">
      <c r="A65" s="83"/>
      <c r="B65" s="69" t="s">
        <v>472</v>
      </c>
      <c r="C65" s="70">
        <v>1500</v>
      </c>
      <c r="D65" s="71">
        <v>14</v>
      </c>
      <c r="E65" s="71">
        <v>8.8</v>
      </c>
      <c r="F65" s="71">
        <f t="shared" si="6"/>
        <v>13200.000000000002</v>
      </c>
      <c r="G65" s="72">
        <f>$F65/$F79</f>
        <v>0.04290828505339246</v>
      </c>
      <c r="H65" s="71">
        <f t="shared" si="7"/>
        <v>-7799.999999999998</v>
      </c>
      <c r="I65" s="86"/>
      <c r="J65" s="101" t="s">
        <v>424</v>
      </c>
      <c r="K65" s="102"/>
      <c r="L65" s="105">
        <f>$L62-$L63+$L64</f>
        <v>15924.678984803882</v>
      </c>
      <c r="M65" s="83"/>
      <c r="N65" s="83"/>
      <c r="O65" s="83"/>
    </row>
    <row r="66" spans="1:15" ht="11.25">
      <c r="A66" s="83"/>
      <c r="B66" s="69" t="s">
        <v>486</v>
      </c>
      <c r="C66" s="70">
        <v>300</v>
      </c>
      <c r="D66" s="71">
        <v>103.3</v>
      </c>
      <c r="E66" s="71">
        <v>105</v>
      </c>
      <c r="F66" s="71">
        <f t="shared" si="6"/>
        <v>31500</v>
      </c>
      <c r="G66" s="72">
        <f>$F66/$F79</f>
        <v>0.10239477115014109</v>
      </c>
      <c r="H66" s="71">
        <f t="shared" si="7"/>
        <v>510</v>
      </c>
      <c r="I66" s="88"/>
      <c r="J66" s="153" t="s">
        <v>30</v>
      </c>
      <c r="K66" s="153"/>
      <c r="L66" s="107">
        <f>$F79/$L65</f>
        <v>19.31799670486959</v>
      </c>
      <c r="M66" s="83"/>
      <c r="N66" s="83"/>
      <c r="O66" s="83"/>
    </row>
    <row r="67" spans="1:15" ht="11.25">
      <c r="A67" s="83"/>
      <c r="B67" s="69" t="s">
        <v>488</v>
      </c>
      <c r="C67" s="70">
        <v>11000</v>
      </c>
      <c r="D67" s="71">
        <v>5.8</v>
      </c>
      <c r="E67" s="71">
        <v>6.15</v>
      </c>
      <c r="F67" s="71">
        <f t="shared" si="6"/>
        <v>67650</v>
      </c>
      <c r="G67" s="72">
        <f>$F67/$F79</f>
        <v>0.21990496089863634</v>
      </c>
      <c r="H67" s="71">
        <f t="shared" si="7"/>
        <v>3850</v>
      </c>
      <c r="I67" s="86"/>
      <c r="J67" s="154" t="s">
        <v>385</v>
      </c>
      <c r="K67" s="154"/>
      <c r="L67" s="154"/>
      <c r="M67" s="83"/>
      <c r="N67" s="83"/>
      <c r="O67" s="83"/>
    </row>
    <row r="68" spans="1:15" ht="11.25">
      <c r="A68" s="83"/>
      <c r="B68" s="69" t="s">
        <v>320</v>
      </c>
      <c r="C68" s="70">
        <v>2000</v>
      </c>
      <c r="D68" s="71">
        <v>4.7</v>
      </c>
      <c r="E68" s="71">
        <v>4</v>
      </c>
      <c r="F68" s="71">
        <f t="shared" si="6"/>
        <v>8000</v>
      </c>
      <c r="G68" s="72">
        <f>$F68/$F79</f>
        <v>0.026005021244480276</v>
      </c>
      <c r="H68" s="71">
        <f t="shared" si="7"/>
        <v>-1400</v>
      </c>
      <c r="I68" s="86"/>
      <c r="J68" s="92" t="s">
        <v>390</v>
      </c>
      <c r="K68" s="93"/>
      <c r="L68" s="136">
        <v>546.5050000000965</v>
      </c>
      <c r="M68" s="83"/>
      <c r="N68" s="83"/>
      <c r="O68" s="83"/>
    </row>
    <row r="69" spans="1:15" ht="11.25">
      <c r="A69" s="83"/>
      <c r="B69" s="69" t="s">
        <v>28</v>
      </c>
      <c r="C69" s="70">
        <v>6000</v>
      </c>
      <c r="D69" s="71">
        <v>14.3</v>
      </c>
      <c r="E69" s="71">
        <v>15.3</v>
      </c>
      <c r="F69" s="71">
        <f t="shared" si="6"/>
        <v>91800</v>
      </c>
      <c r="G69" s="72">
        <f>$F69/$F79</f>
        <v>0.29840761878041117</v>
      </c>
      <c r="H69" s="71">
        <f t="shared" si="7"/>
        <v>6000</v>
      </c>
      <c r="I69" s="88"/>
      <c r="J69" s="148" t="s">
        <v>388</v>
      </c>
      <c r="K69" s="148"/>
      <c r="L69" s="103">
        <v>0</v>
      </c>
      <c r="M69" s="83"/>
      <c r="N69" s="83"/>
      <c r="O69" s="83"/>
    </row>
    <row r="70" spans="1:15" ht="11.25">
      <c r="A70" s="83"/>
      <c r="B70" s="69" t="s">
        <v>480</v>
      </c>
      <c r="C70" s="70">
        <v>9000</v>
      </c>
      <c r="D70" s="71">
        <v>6.79</v>
      </c>
      <c r="E70" s="71">
        <v>7.65</v>
      </c>
      <c r="F70" s="71">
        <f t="shared" si="6"/>
        <v>68850</v>
      </c>
      <c r="G70" s="72">
        <f>$F70/$F79</f>
        <v>0.2238057140853084</v>
      </c>
      <c r="H70" s="71">
        <f t="shared" si="7"/>
        <v>7740</v>
      </c>
      <c r="I70" s="86"/>
      <c r="J70" s="148" t="s">
        <v>389</v>
      </c>
      <c r="K70" s="148"/>
      <c r="L70" s="103">
        <v>0</v>
      </c>
      <c r="M70" s="83"/>
      <c r="N70" s="83"/>
      <c r="O70" s="83"/>
    </row>
    <row r="71" spans="1:15" ht="11.25">
      <c r="A71" s="83"/>
      <c r="B71" s="69"/>
      <c r="C71" s="70"/>
      <c r="D71" s="71"/>
      <c r="E71" s="71"/>
      <c r="F71" s="71"/>
      <c r="G71" s="72"/>
      <c r="H71" s="71"/>
      <c r="I71" s="88"/>
      <c r="J71" s="147" t="s">
        <v>397</v>
      </c>
      <c r="K71" s="147"/>
      <c r="L71" s="110">
        <f>$L63*$N63</f>
        <v>0</v>
      </c>
      <c r="M71" s="83"/>
      <c r="N71" s="81"/>
      <c r="O71" s="83"/>
    </row>
    <row r="72" spans="1:15" ht="11.25">
      <c r="A72" s="83"/>
      <c r="B72" s="150" t="s">
        <v>31</v>
      </c>
      <c r="C72" s="150"/>
      <c r="D72" s="150"/>
      <c r="E72" s="73"/>
      <c r="F72" s="73">
        <f>SUM($F64:$F71)</f>
        <v>290300</v>
      </c>
      <c r="G72" s="74">
        <f>SUM($G64:$G71)</f>
        <v>0.9436572084090781</v>
      </c>
      <c r="H72" s="71">
        <f>SUM(H64:H71)</f>
        <v>9650.000000000002</v>
      </c>
      <c r="I72" s="86"/>
      <c r="J72" s="148" t="s">
        <v>393</v>
      </c>
      <c r="K72" s="148"/>
      <c r="L72" s="103">
        <v>0</v>
      </c>
      <c r="M72" s="94"/>
      <c r="N72" s="83"/>
      <c r="O72" s="83"/>
    </row>
    <row r="73" spans="1:15" ht="11.25">
      <c r="A73" s="83"/>
      <c r="B73" s="143" t="s">
        <v>386</v>
      </c>
      <c r="C73" s="143"/>
      <c r="D73" s="71"/>
      <c r="E73" s="71"/>
      <c r="F73" s="71">
        <v>21780.636154547414</v>
      </c>
      <c r="G73" s="85"/>
      <c r="H73" s="85"/>
      <c r="I73" s="86"/>
      <c r="J73" s="147" t="s">
        <v>398</v>
      </c>
      <c r="K73" s="147"/>
      <c r="L73" s="110">
        <v>0</v>
      </c>
      <c r="M73" s="83"/>
      <c r="N73" s="118"/>
      <c r="O73" s="83"/>
    </row>
    <row r="74" spans="1:15" ht="11.25">
      <c r="A74" s="83"/>
      <c r="B74" s="75" t="s">
        <v>14</v>
      </c>
      <c r="C74" s="75"/>
      <c r="D74" s="71"/>
      <c r="E74" s="71"/>
      <c r="F74" s="71">
        <v>-4447.74</v>
      </c>
      <c r="G74" s="85"/>
      <c r="H74" s="85"/>
      <c r="I74" s="86"/>
      <c r="J74" s="148" t="s">
        <v>392</v>
      </c>
      <c r="K74" s="148"/>
      <c r="L74" s="103">
        <v>0</v>
      </c>
      <c r="M74" s="83"/>
      <c r="N74" s="83"/>
      <c r="O74" s="83"/>
    </row>
    <row r="75" spans="1:15" ht="11.25">
      <c r="A75" s="83"/>
      <c r="B75" s="143" t="s">
        <v>34</v>
      </c>
      <c r="C75" s="143"/>
      <c r="D75" s="71"/>
      <c r="E75" s="71"/>
      <c r="F75" s="71">
        <v>0</v>
      </c>
      <c r="G75" s="85"/>
      <c r="H75" s="85">
        <f>SUM(F75:G75)</f>
        <v>0</v>
      </c>
      <c r="I75" s="86"/>
      <c r="J75" s="149" t="s">
        <v>391</v>
      </c>
      <c r="K75" s="149"/>
      <c r="L75" s="109">
        <f>SUM(L68:L70,L72,L74)</f>
        <v>546.5050000000965</v>
      </c>
      <c r="M75" s="83"/>
      <c r="N75" s="83"/>
      <c r="O75" s="83"/>
    </row>
    <row r="76" spans="1:15" ht="11.25">
      <c r="A76" s="83"/>
      <c r="B76" s="75" t="s">
        <v>151</v>
      </c>
      <c r="C76" s="75"/>
      <c r="D76" s="71"/>
      <c r="E76" s="71"/>
      <c r="F76" s="71">
        <v>0</v>
      </c>
      <c r="G76" s="85"/>
      <c r="H76" s="85"/>
      <c r="I76" s="86"/>
      <c r="J76" s="78" t="s">
        <v>324</v>
      </c>
      <c r="K76" s="78"/>
      <c r="L76" s="73">
        <v>88414.31590454742</v>
      </c>
      <c r="M76" s="83"/>
      <c r="N76" s="83"/>
      <c r="O76" s="83"/>
    </row>
    <row r="77" spans="1:15" ht="11.25">
      <c r="A77" s="83"/>
      <c r="B77" s="143" t="s">
        <v>133</v>
      </c>
      <c r="C77" s="143"/>
      <c r="D77" s="71"/>
      <c r="E77" s="71"/>
      <c r="F77" s="71">
        <v>0</v>
      </c>
      <c r="G77" s="85"/>
      <c r="H77" s="85"/>
      <c r="I77" s="86"/>
      <c r="J77" s="132" t="s">
        <v>181</v>
      </c>
      <c r="K77" s="132"/>
      <c r="L77" s="133">
        <f>SUM($L75:$L76)</f>
        <v>88960.82090454751</v>
      </c>
      <c r="M77" s="83"/>
      <c r="N77" s="83"/>
      <c r="O77" s="83"/>
    </row>
    <row r="78" spans="1:15" ht="13.5">
      <c r="A78" s="83"/>
      <c r="B78" s="144" t="s">
        <v>387</v>
      </c>
      <c r="C78" s="144"/>
      <c r="D78" s="144"/>
      <c r="E78" s="76"/>
      <c r="F78" s="73">
        <f>SUM($F73:$F77)</f>
        <v>17332.896154547416</v>
      </c>
      <c r="G78" s="74">
        <f>$F78/$F79</f>
        <v>0.056342791590922</v>
      </c>
      <c r="H78" s="80">
        <f>H58+1</f>
        <v>37994</v>
      </c>
      <c r="I78" s="86"/>
      <c r="J78" s="145" t="s">
        <v>180</v>
      </c>
      <c r="K78" s="145"/>
      <c r="L78" s="108">
        <f>$F79+$L75+$L71+$L73</f>
        <v>308179.4011545475</v>
      </c>
      <c r="M78" s="83"/>
      <c r="N78" s="83"/>
      <c r="O78" s="83"/>
    </row>
    <row r="79" spans="1:15" ht="13.5">
      <c r="A79" s="83"/>
      <c r="B79" s="146" t="s">
        <v>18</v>
      </c>
      <c r="C79" s="146"/>
      <c r="D79" s="146"/>
      <c r="E79" s="77"/>
      <c r="F79" s="97">
        <f>SUM($F72,$F78)</f>
        <v>307632.8961545474</v>
      </c>
      <c r="G79" s="79">
        <f>SUM($G72,$G78)</f>
        <v>1</v>
      </c>
      <c r="H79" s="89"/>
      <c r="I79" s="86"/>
      <c r="J79" s="83"/>
      <c r="K79" s="83"/>
      <c r="L79" s="83"/>
      <c r="M79" s="83"/>
      <c r="N79" s="83"/>
      <c r="O79" s="83"/>
    </row>
    <row r="80" spans="1:15" ht="11.25">
      <c r="A80" s="83"/>
      <c r="B80" s="83"/>
      <c r="C80" s="83"/>
      <c r="D80" s="83"/>
      <c r="E80" s="83"/>
      <c r="F80" s="83"/>
      <c r="G80" s="89"/>
      <c r="H80" s="90"/>
      <c r="I80" s="86"/>
      <c r="J80" s="83"/>
      <c r="K80" s="83"/>
      <c r="L80" s="83"/>
      <c r="M80" s="83"/>
      <c r="N80" s="83"/>
      <c r="O80" s="83"/>
    </row>
    <row r="81" spans="1:15" ht="15.75">
      <c r="A81" s="83"/>
      <c r="B81" s="98"/>
      <c r="C81" s="98"/>
      <c r="D81" s="98"/>
      <c r="E81" s="99"/>
      <c r="F81" s="86"/>
      <c r="G81" s="100" t="s">
        <v>402</v>
      </c>
      <c r="H81" s="151">
        <f>H61+1</f>
        <v>37992</v>
      </c>
      <c r="I81" s="151"/>
      <c r="J81" s="151"/>
      <c r="K81" s="83"/>
      <c r="L81" s="83"/>
      <c r="M81" s="83"/>
      <c r="N81" s="83"/>
      <c r="O81" s="83"/>
    </row>
    <row r="82" spans="1:15" ht="11.25">
      <c r="A82" s="84"/>
      <c r="B82" s="152" t="s">
        <v>394</v>
      </c>
      <c r="C82" s="152"/>
      <c r="D82" s="152"/>
      <c r="E82" s="152"/>
      <c r="F82" s="152"/>
      <c r="G82" s="152"/>
      <c r="H82" s="152"/>
      <c r="I82" s="87"/>
      <c r="J82" s="91" t="s">
        <v>396</v>
      </c>
      <c r="K82" s="91"/>
      <c r="L82" s="70">
        <v>15924.678984803882</v>
      </c>
      <c r="M82" s="95"/>
      <c r="N82" s="96"/>
      <c r="O82" s="84"/>
    </row>
    <row r="83" spans="1:15" ht="11.25">
      <c r="A83" s="83"/>
      <c r="B83" s="68" t="s">
        <v>2</v>
      </c>
      <c r="C83" s="68" t="s">
        <v>4</v>
      </c>
      <c r="D83" s="68" t="s">
        <v>9</v>
      </c>
      <c r="E83" s="68" t="s">
        <v>10</v>
      </c>
      <c r="F83" s="68" t="s">
        <v>11</v>
      </c>
      <c r="G83" s="68" t="s">
        <v>12</v>
      </c>
      <c r="H83" s="68" t="s">
        <v>384</v>
      </c>
      <c r="I83" s="86"/>
      <c r="J83" s="91" t="s">
        <v>399</v>
      </c>
      <c r="K83" s="91"/>
      <c r="L83" s="104">
        <v>0</v>
      </c>
      <c r="M83" s="82" t="s">
        <v>395</v>
      </c>
      <c r="N83" s="106">
        <v>0</v>
      </c>
      <c r="O83" s="83"/>
    </row>
    <row r="84" spans="1:15" ht="11.25">
      <c r="A84" s="83"/>
      <c r="B84" s="69" t="s">
        <v>334</v>
      </c>
      <c r="C84" s="70">
        <v>300</v>
      </c>
      <c r="D84" s="71">
        <v>28.5</v>
      </c>
      <c r="E84" s="71">
        <v>31</v>
      </c>
      <c r="F84" s="71">
        <f>$C84*$E84</f>
        <v>9300</v>
      </c>
      <c r="G84" s="72">
        <f>$F84/$F99</f>
        <v>0.02858792295503674</v>
      </c>
      <c r="H84" s="71">
        <f>$F84-($C84*$D84)</f>
        <v>750</v>
      </c>
      <c r="I84" s="88"/>
      <c r="J84" s="91" t="s">
        <v>400</v>
      </c>
      <c r="K84" s="91"/>
      <c r="L84" s="104">
        <v>1043.1734588645713</v>
      </c>
      <c r="M84" s="82" t="s">
        <v>395</v>
      </c>
      <c r="N84" s="131">
        <v>19.17226692267338</v>
      </c>
      <c r="O84" s="83"/>
    </row>
    <row r="85" spans="1:15" ht="11.25">
      <c r="A85" s="83"/>
      <c r="B85" s="69" t="s">
        <v>486</v>
      </c>
      <c r="C85" s="70">
        <v>300</v>
      </c>
      <c r="D85" s="71">
        <v>103.3</v>
      </c>
      <c r="E85" s="71">
        <v>104</v>
      </c>
      <c r="F85" s="71">
        <f>$C85*$E85</f>
        <v>31200</v>
      </c>
      <c r="G85" s="72">
        <f>$F85/$F99</f>
        <v>0.09590787055883293</v>
      </c>
      <c r="H85" s="71">
        <f>$F85-($C85*$D85)</f>
        <v>210</v>
      </c>
      <c r="I85" s="86"/>
      <c r="J85" s="101" t="s">
        <v>424</v>
      </c>
      <c r="K85" s="102"/>
      <c r="L85" s="105">
        <f>$L82-$L83+$L84</f>
        <v>16967.852443668453</v>
      </c>
      <c r="M85" s="83"/>
      <c r="N85" s="83"/>
      <c r="O85" s="83"/>
    </row>
    <row r="86" spans="1:15" ht="11.25">
      <c r="A86" s="83"/>
      <c r="B86" s="69" t="s">
        <v>320</v>
      </c>
      <c r="C86" s="70">
        <v>2000</v>
      </c>
      <c r="D86" s="71">
        <v>4.7</v>
      </c>
      <c r="E86" s="71">
        <v>4.08</v>
      </c>
      <c r="F86" s="71">
        <f>$C86*$E86</f>
        <v>8160</v>
      </c>
      <c r="G86" s="72">
        <f>$F86/$F99</f>
        <v>0.025083596915387075</v>
      </c>
      <c r="H86" s="71">
        <f>$F86-($C86*$D86)</f>
        <v>-1240</v>
      </c>
      <c r="I86" s="88"/>
      <c r="J86" s="153" t="s">
        <v>30</v>
      </c>
      <c r="K86" s="153"/>
      <c r="L86" s="107">
        <f>$F99/$L85</f>
        <v>19.17226692267338</v>
      </c>
      <c r="M86" s="83"/>
      <c r="N86" s="83"/>
      <c r="O86" s="83"/>
    </row>
    <row r="87" spans="1:15" ht="11.25">
      <c r="A87" s="83"/>
      <c r="B87" s="69" t="s">
        <v>28</v>
      </c>
      <c r="C87" s="70">
        <v>4000</v>
      </c>
      <c r="D87" s="71">
        <v>14.3</v>
      </c>
      <c r="E87" s="71">
        <v>16</v>
      </c>
      <c r="F87" s="71">
        <f>$C87*$E87</f>
        <v>64000</v>
      </c>
      <c r="G87" s="72">
        <f>$F87/$F99</f>
        <v>0.19673409345401627</v>
      </c>
      <c r="H87" s="71">
        <f>$F87-($C87*$D87)</f>
        <v>6800</v>
      </c>
      <c r="I87" s="86"/>
      <c r="J87" s="154" t="s">
        <v>385</v>
      </c>
      <c r="K87" s="154"/>
      <c r="L87" s="154"/>
      <c r="M87" s="83"/>
      <c r="N87" s="83"/>
      <c r="O87" s="83"/>
    </row>
    <row r="88" spans="1:15" ht="11.25">
      <c r="A88" s="83"/>
      <c r="B88" s="69" t="s">
        <v>480</v>
      </c>
      <c r="C88" s="70">
        <v>7000</v>
      </c>
      <c r="D88" s="71">
        <v>7.25</v>
      </c>
      <c r="E88" s="71">
        <v>7.2</v>
      </c>
      <c r="F88" s="71">
        <f>$C88*$E88</f>
        <v>50400</v>
      </c>
      <c r="G88" s="72">
        <f>$F88/$F99</f>
        <v>0.1549280985950378</v>
      </c>
      <c r="H88" s="71">
        <f>$F88-($C88*$D88)</f>
        <v>-350</v>
      </c>
      <c r="I88" s="86"/>
      <c r="J88" s="92" t="s">
        <v>390</v>
      </c>
      <c r="K88" s="93"/>
      <c r="L88" s="136">
        <v>546.5050000000965</v>
      </c>
      <c r="M88" s="83"/>
      <c r="N88" s="83"/>
      <c r="O88" s="83"/>
    </row>
    <row r="89" spans="1:15" ht="11.25">
      <c r="A89" s="83"/>
      <c r="B89" s="69"/>
      <c r="C89" s="70"/>
      <c r="D89" s="71"/>
      <c r="E89" s="71"/>
      <c r="F89" s="71"/>
      <c r="G89" s="72"/>
      <c r="H89" s="71"/>
      <c r="I89" s="88"/>
      <c r="J89" s="148" t="s">
        <v>388</v>
      </c>
      <c r="K89" s="148"/>
      <c r="L89" s="103">
        <v>0</v>
      </c>
      <c r="M89" s="83"/>
      <c r="N89" s="83"/>
      <c r="O89" s="83"/>
    </row>
    <row r="90" spans="1:15" ht="11.25">
      <c r="A90" s="83"/>
      <c r="B90" s="69"/>
      <c r="C90" s="70"/>
      <c r="D90" s="71"/>
      <c r="E90" s="71"/>
      <c r="F90" s="71"/>
      <c r="G90" s="72"/>
      <c r="H90" s="71"/>
      <c r="I90" s="86"/>
      <c r="J90" s="148" t="s">
        <v>389</v>
      </c>
      <c r="K90" s="148"/>
      <c r="L90" s="103">
        <v>20000</v>
      </c>
      <c r="M90" s="83"/>
      <c r="N90" s="83"/>
      <c r="O90" s="83"/>
    </row>
    <row r="91" spans="1:15" ht="11.25">
      <c r="A91" s="83"/>
      <c r="B91" s="69"/>
      <c r="C91" s="70"/>
      <c r="D91" s="71"/>
      <c r="E91" s="71"/>
      <c r="F91" s="71"/>
      <c r="G91" s="72"/>
      <c r="H91" s="71"/>
      <c r="I91" s="88"/>
      <c r="J91" s="147" t="s">
        <v>397</v>
      </c>
      <c r="K91" s="147"/>
      <c r="L91" s="110">
        <f>$L83*$N83</f>
        <v>0</v>
      </c>
      <c r="M91" s="83"/>
      <c r="N91" s="81"/>
      <c r="O91" s="83"/>
    </row>
    <row r="92" spans="1:15" ht="11.25">
      <c r="A92" s="83"/>
      <c r="B92" s="150" t="s">
        <v>31</v>
      </c>
      <c r="C92" s="150"/>
      <c r="D92" s="150"/>
      <c r="E92" s="73"/>
      <c r="F92" s="73">
        <f>SUM($F84:$F91)</f>
        <v>163060</v>
      </c>
      <c r="G92" s="74">
        <f>SUM($G84:$G91)</f>
        <v>0.5012415824783107</v>
      </c>
      <c r="H92" s="71">
        <f>SUM(H84:H91)</f>
        <v>6170</v>
      </c>
      <c r="I92" s="86"/>
      <c r="J92" s="148" t="s">
        <v>393</v>
      </c>
      <c r="K92" s="148"/>
      <c r="L92" s="103">
        <v>0</v>
      </c>
      <c r="M92" s="94"/>
      <c r="N92" s="83"/>
      <c r="O92" s="83"/>
    </row>
    <row r="93" spans="1:15" ht="11.25">
      <c r="A93" s="83"/>
      <c r="B93" s="143" t="s">
        <v>386</v>
      </c>
      <c r="C93" s="143"/>
      <c r="D93" s="71"/>
      <c r="E93" s="71"/>
      <c r="F93" s="71">
        <v>17332.896154547416</v>
      </c>
      <c r="G93" s="85"/>
      <c r="H93" s="85"/>
      <c r="I93" s="86"/>
      <c r="J93" s="147" t="s">
        <v>398</v>
      </c>
      <c r="K93" s="147"/>
      <c r="L93" s="110">
        <v>-20000</v>
      </c>
      <c r="M93" s="83"/>
      <c r="N93" s="118">
        <v>37995</v>
      </c>
      <c r="O93" s="83"/>
    </row>
    <row r="94" spans="1:15" ht="11.25">
      <c r="A94" s="83"/>
      <c r="B94" s="75" t="s">
        <v>14</v>
      </c>
      <c r="C94" s="75"/>
      <c r="D94" s="71"/>
      <c r="E94" s="71"/>
      <c r="F94" s="71">
        <v>0</v>
      </c>
      <c r="G94" s="85"/>
      <c r="H94" s="85"/>
      <c r="I94" s="86"/>
      <c r="J94" s="148" t="s">
        <v>392</v>
      </c>
      <c r="K94" s="148"/>
      <c r="L94" s="103">
        <v>0</v>
      </c>
      <c r="M94" s="83"/>
      <c r="N94" s="83"/>
      <c r="O94" s="83"/>
    </row>
    <row r="95" spans="1:15" ht="11.25">
      <c r="A95" s="83"/>
      <c r="B95" s="143" t="s">
        <v>34</v>
      </c>
      <c r="C95" s="143"/>
      <c r="D95" s="71"/>
      <c r="E95" s="71"/>
      <c r="F95" s="71">
        <v>124919.3</v>
      </c>
      <c r="G95" s="85"/>
      <c r="H95" s="85">
        <f>SUM(F95:G95)</f>
        <v>124919.3</v>
      </c>
      <c r="I95" s="86"/>
      <c r="J95" s="149" t="s">
        <v>391</v>
      </c>
      <c r="K95" s="149"/>
      <c r="L95" s="109">
        <f>SUM(L88:L90,L92,L94)</f>
        <v>20546.505000000096</v>
      </c>
      <c r="M95" s="83"/>
      <c r="N95" s="83"/>
      <c r="O95" s="83"/>
    </row>
    <row r="96" spans="1:15" ht="11.25">
      <c r="A96" s="83"/>
      <c r="B96" s="75" t="s">
        <v>151</v>
      </c>
      <c r="C96" s="75"/>
      <c r="D96" s="71"/>
      <c r="E96" s="71"/>
      <c r="F96" s="71">
        <v>0</v>
      </c>
      <c r="G96" s="85"/>
      <c r="H96" s="85"/>
      <c r="I96" s="86"/>
      <c r="J96" s="78" t="s">
        <v>324</v>
      </c>
      <c r="K96" s="78"/>
      <c r="L96" s="73">
        <v>56869.73615454741</v>
      </c>
      <c r="M96" s="83"/>
      <c r="N96" s="83"/>
      <c r="O96" s="83"/>
    </row>
    <row r="97" spans="1:15" ht="11.25">
      <c r="A97" s="83"/>
      <c r="B97" s="143" t="s">
        <v>133</v>
      </c>
      <c r="C97" s="143"/>
      <c r="D97" s="71"/>
      <c r="E97" s="71"/>
      <c r="F97" s="71">
        <v>20000</v>
      </c>
      <c r="G97" s="85"/>
      <c r="H97" s="85"/>
      <c r="I97" s="86"/>
      <c r="J97" s="132" t="s">
        <v>181</v>
      </c>
      <c r="K97" s="132"/>
      <c r="L97" s="133">
        <f>SUM($L95:$L96)</f>
        <v>77416.2411545475</v>
      </c>
      <c r="M97" s="83"/>
      <c r="N97" s="83"/>
      <c r="O97" s="83"/>
    </row>
    <row r="98" spans="1:15" ht="13.5">
      <c r="A98" s="83"/>
      <c r="B98" s="144" t="s">
        <v>387</v>
      </c>
      <c r="C98" s="144"/>
      <c r="D98" s="144"/>
      <c r="E98" s="76"/>
      <c r="F98" s="73">
        <f>SUM($F93:$F97)</f>
        <v>162252.19615454742</v>
      </c>
      <c r="G98" s="74">
        <f>$F98/$F99</f>
        <v>0.49875841752168926</v>
      </c>
      <c r="H98" s="80">
        <f>H78+1</f>
        <v>37995</v>
      </c>
      <c r="I98" s="86"/>
      <c r="J98" s="145" t="s">
        <v>180</v>
      </c>
      <c r="K98" s="145"/>
      <c r="L98" s="108">
        <f>$F99+$L95+$L91+$L93</f>
        <v>325858.7011545475</v>
      </c>
      <c r="M98" s="83"/>
      <c r="N98" s="83"/>
      <c r="O98" s="83"/>
    </row>
    <row r="99" spans="1:15" ht="13.5">
      <c r="A99" s="83"/>
      <c r="B99" s="146" t="s">
        <v>18</v>
      </c>
      <c r="C99" s="146"/>
      <c r="D99" s="146"/>
      <c r="E99" s="77"/>
      <c r="F99" s="97">
        <f>SUM($F92,$F98)</f>
        <v>325312.1961545474</v>
      </c>
      <c r="G99" s="79">
        <f>SUM($G92,$G98)</f>
        <v>1</v>
      </c>
      <c r="H99" s="89"/>
      <c r="I99" s="86"/>
      <c r="J99" s="83"/>
      <c r="K99" s="83"/>
      <c r="L99" s="83"/>
      <c r="M99" s="83"/>
      <c r="N99" s="83"/>
      <c r="O99" s="83"/>
    </row>
    <row r="100" spans="1:15" ht="11.25">
      <c r="A100" s="83"/>
      <c r="B100" s="83"/>
      <c r="C100" s="83"/>
      <c r="D100" s="83"/>
      <c r="E100" s="83"/>
      <c r="F100" s="83"/>
      <c r="G100" s="89"/>
      <c r="H100" s="90"/>
      <c r="I100" s="86"/>
      <c r="J100" s="83"/>
      <c r="K100" s="83"/>
      <c r="L100" s="83"/>
      <c r="M100" s="83"/>
      <c r="N100" s="83"/>
      <c r="O100" s="83"/>
    </row>
    <row r="101" spans="1:15" ht="15.75">
      <c r="A101" s="83"/>
      <c r="B101" s="98"/>
      <c r="C101" s="98"/>
      <c r="D101" s="98"/>
      <c r="E101" s="99"/>
      <c r="F101" s="86"/>
      <c r="G101" s="100" t="s">
        <v>377</v>
      </c>
      <c r="H101" s="151">
        <f>H81+1</f>
        <v>37993</v>
      </c>
      <c r="I101" s="151"/>
      <c r="J101" s="151"/>
      <c r="K101" s="83"/>
      <c r="L101" s="83"/>
      <c r="M101" s="83"/>
      <c r="N101" s="83"/>
      <c r="O101" s="83"/>
    </row>
    <row r="102" spans="1:15" ht="11.25">
      <c r="A102" s="84"/>
      <c r="B102" s="152" t="s">
        <v>394</v>
      </c>
      <c r="C102" s="152"/>
      <c r="D102" s="152"/>
      <c r="E102" s="152"/>
      <c r="F102" s="152"/>
      <c r="G102" s="152"/>
      <c r="H102" s="152"/>
      <c r="I102" s="87"/>
      <c r="J102" s="91" t="s">
        <v>396</v>
      </c>
      <c r="K102" s="91"/>
      <c r="L102" s="70">
        <v>16967.852443668453</v>
      </c>
      <c r="M102" s="95"/>
      <c r="N102" s="96"/>
      <c r="O102" s="84"/>
    </row>
    <row r="103" spans="1:15" ht="11.25">
      <c r="A103" s="83"/>
      <c r="B103" s="68" t="s">
        <v>2</v>
      </c>
      <c r="C103" s="68" t="s">
        <v>4</v>
      </c>
      <c r="D103" s="68" t="s">
        <v>9</v>
      </c>
      <c r="E103" s="68" t="s">
        <v>10</v>
      </c>
      <c r="F103" s="68" t="s">
        <v>11</v>
      </c>
      <c r="G103" s="68" t="s">
        <v>12</v>
      </c>
      <c r="H103" s="68" t="s">
        <v>384</v>
      </c>
      <c r="I103" s="86"/>
      <c r="J103" s="91" t="s">
        <v>399</v>
      </c>
      <c r="K103" s="91"/>
      <c r="L103" s="104">
        <v>0</v>
      </c>
      <c r="M103" s="82" t="s">
        <v>395</v>
      </c>
      <c r="N103" s="106">
        <v>0</v>
      </c>
      <c r="O103" s="83"/>
    </row>
    <row r="104" spans="1:15" ht="11.25">
      <c r="A104" s="83"/>
      <c r="B104" s="69" t="s">
        <v>334</v>
      </c>
      <c r="C104" s="70">
        <v>300</v>
      </c>
      <c r="D104" s="71">
        <v>28.5</v>
      </c>
      <c r="E104" s="71">
        <v>31</v>
      </c>
      <c r="F104" s="71">
        <f>$C104*$E104</f>
        <v>9300</v>
      </c>
      <c r="G104" s="72">
        <f>$F104/$F119</f>
        <v>0.028675905087462143</v>
      </c>
      <c r="H104" s="71">
        <f>$F104-($C104*$D104)</f>
        <v>750</v>
      </c>
      <c r="I104" s="88"/>
      <c r="J104" s="91" t="s">
        <v>400</v>
      </c>
      <c r="K104" s="91"/>
      <c r="L104" s="104">
        <v>0</v>
      </c>
      <c r="M104" s="82" t="s">
        <v>395</v>
      </c>
      <c r="N104" s="131">
        <v>0</v>
      </c>
      <c r="O104" s="83"/>
    </row>
    <row r="105" spans="1:15" ht="11.25">
      <c r="A105" s="83"/>
      <c r="B105" s="69" t="s">
        <v>486</v>
      </c>
      <c r="C105" s="70">
        <v>300</v>
      </c>
      <c r="D105" s="71">
        <v>103.3</v>
      </c>
      <c r="E105" s="71">
        <v>104</v>
      </c>
      <c r="F105" s="71">
        <f>$C105*$E105</f>
        <v>31200</v>
      </c>
      <c r="G105" s="72">
        <f>$F105/$F119</f>
        <v>0.09620303642245365</v>
      </c>
      <c r="H105" s="71">
        <f>$F105-($C105*$D105)</f>
        <v>210</v>
      </c>
      <c r="I105" s="86"/>
      <c r="J105" s="101" t="s">
        <v>424</v>
      </c>
      <c r="K105" s="102"/>
      <c r="L105" s="105">
        <f>$L102-$L103+$L104</f>
        <v>16967.852443668453</v>
      </c>
      <c r="M105" s="83"/>
      <c r="N105" s="83"/>
      <c r="O105" s="83"/>
    </row>
    <row r="106" spans="1:15" ht="11.25">
      <c r="A106" s="83"/>
      <c r="B106" s="69" t="s">
        <v>320</v>
      </c>
      <c r="C106" s="70">
        <v>2000</v>
      </c>
      <c r="D106" s="71">
        <v>4.7</v>
      </c>
      <c r="E106" s="71">
        <v>4.46</v>
      </c>
      <c r="F106" s="71">
        <f>$C106*$E106</f>
        <v>8920</v>
      </c>
      <c r="G106" s="72">
        <f>$F106/$F119</f>
        <v>0.027504201438727133</v>
      </c>
      <c r="H106" s="71">
        <f>$F106-($C106*$D106)</f>
        <v>-480</v>
      </c>
      <c r="I106" s="88"/>
      <c r="J106" s="153" t="s">
        <v>30</v>
      </c>
      <c r="K106" s="153"/>
      <c r="L106" s="107">
        <f>$F119/$L105</f>
        <v>19.113443428797915</v>
      </c>
      <c r="M106" s="83"/>
      <c r="N106" s="83"/>
      <c r="O106" s="83"/>
    </row>
    <row r="107" spans="1:15" ht="11.25">
      <c r="A107" s="83"/>
      <c r="B107" s="69" t="s">
        <v>429</v>
      </c>
      <c r="C107" s="70">
        <v>300</v>
      </c>
      <c r="D107" s="71">
        <v>38.9</v>
      </c>
      <c r="E107" s="71">
        <v>39</v>
      </c>
      <c r="F107" s="71">
        <f>$C107*$E107</f>
        <v>11700</v>
      </c>
      <c r="G107" s="72">
        <f>$F107/$F119</f>
        <v>0.03607613865842012</v>
      </c>
      <c r="H107" s="71">
        <f>$F107-($C107*$D107)</f>
        <v>30</v>
      </c>
      <c r="I107" s="86"/>
      <c r="J107" s="154" t="s">
        <v>385</v>
      </c>
      <c r="K107" s="154"/>
      <c r="L107" s="154"/>
      <c r="M107" s="83"/>
      <c r="N107" s="83"/>
      <c r="O107" s="83"/>
    </row>
    <row r="108" spans="1:15" ht="11.25">
      <c r="A108" s="83"/>
      <c r="B108" s="69"/>
      <c r="C108" s="70"/>
      <c r="D108" s="71"/>
      <c r="E108" s="71"/>
      <c r="F108" s="71"/>
      <c r="G108" s="72"/>
      <c r="H108" s="71"/>
      <c r="I108" s="86"/>
      <c r="J108" s="92" t="s">
        <v>390</v>
      </c>
      <c r="K108" s="93"/>
      <c r="L108" s="136">
        <v>20546.505000000096</v>
      </c>
      <c r="M108" s="83"/>
      <c r="N108" s="83"/>
      <c r="O108" s="83"/>
    </row>
    <row r="109" spans="1:15" ht="11.25">
      <c r="A109" s="83"/>
      <c r="B109" s="69"/>
      <c r="C109" s="70"/>
      <c r="D109" s="71"/>
      <c r="E109" s="71"/>
      <c r="F109" s="71"/>
      <c r="G109" s="72"/>
      <c r="H109" s="71"/>
      <c r="I109" s="88"/>
      <c r="J109" s="148" t="s">
        <v>388</v>
      </c>
      <c r="K109" s="148"/>
      <c r="L109" s="103">
        <v>0</v>
      </c>
      <c r="M109" s="83"/>
      <c r="N109" s="83"/>
      <c r="O109" s="83"/>
    </row>
    <row r="110" spans="1:15" ht="11.25">
      <c r="A110" s="83"/>
      <c r="B110" s="69"/>
      <c r="C110" s="70"/>
      <c r="D110" s="71"/>
      <c r="E110" s="71"/>
      <c r="F110" s="71"/>
      <c r="G110" s="72"/>
      <c r="H110" s="71"/>
      <c r="I110" s="86"/>
      <c r="J110" s="148" t="s">
        <v>389</v>
      </c>
      <c r="K110" s="148"/>
      <c r="L110" s="103">
        <v>0</v>
      </c>
      <c r="M110" s="83"/>
      <c r="N110" s="83"/>
      <c r="O110" s="83"/>
    </row>
    <row r="111" spans="1:15" ht="11.25">
      <c r="A111" s="83"/>
      <c r="B111" s="69"/>
      <c r="C111" s="70"/>
      <c r="D111" s="71"/>
      <c r="E111" s="71"/>
      <c r="F111" s="71"/>
      <c r="G111" s="72"/>
      <c r="H111" s="71"/>
      <c r="I111" s="88"/>
      <c r="J111" s="147" t="s">
        <v>397</v>
      </c>
      <c r="K111" s="147"/>
      <c r="L111" s="110">
        <f>$L103*$N103</f>
        <v>0</v>
      </c>
      <c r="M111" s="83"/>
      <c r="N111" s="81"/>
      <c r="O111" s="83"/>
    </row>
    <row r="112" spans="1:15" ht="11.25">
      <c r="A112" s="83"/>
      <c r="B112" s="150" t="s">
        <v>31</v>
      </c>
      <c r="C112" s="150"/>
      <c r="D112" s="150"/>
      <c r="E112" s="73"/>
      <c r="F112" s="73">
        <f>SUM($F104:$F111)</f>
        <v>61120</v>
      </c>
      <c r="G112" s="74">
        <f>SUM($G104:$G111)</f>
        <v>0.18845928160706304</v>
      </c>
      <c r="H112" s="71">
        <f>SUM(H104:H111)</f>
        <v>510</v>
      </c>
      <c r="I112" s="86"/>
      <c r="J112" s="148" t="s">
        <v>393</v>
      </c>
      <c r="K112" s="148"/>
      <c r="L112" s="103">
        <v>0</v>
      </c>
      <c r="M112" s="94"/>
      <c r="N112" s="83"/>
      <c r="O112" s="83"/>
    </row>
    <row r="113" spans="1:15" ht="11.25">
      <c r="A113" s="83"/>
      <c r="B113" s="143" t="s">
        <v>386</v>
      </c>
      <c r="C113" s="143"/>
      <c r="D113" s="71"/>
      <c r="E113" s="71"/>
      <c r="F113" s="71">
        <v>162252.19615454742</v>
      </c>
      <c r="G113" s="85"/>
      <c r="H113" s="85"/>
      <c r="I113" s="86"/>
      <c r="J113" s="147" t="s">
        <v>398</v>
      </c>
      <c r="K113" s="147"/>
      <c r="L113" s="110">
        <v>-20000</v>
      </c>
      <c r="M113" s="83"/>
      <c r="N113" s="118">
        <v>37995</v>
      </c>
      <c r="O113" s="83"/>
    </row>
    <row r="114" spans="1:15" ht="11.25">
      <c r="A114" s="83"/>
      <c r="B114" s="75" t="s">
        <v>14</v>
      </c>
      <c r="C114" s="75"/>
      <c r="D114" s="71"/>
      <c r="E114" s="71"/>
      <c r="F114" s="71">
        <v>0</v>
      </c>
      <c r="G114" s="85"/>
      <c r="H114" s="85"/>
      <c r="I114" s="86"/>
      <c r="J114" s="148" t="s">
        <v>392</v>
      </c>
      <c r="K114" s="148"/>
      <c r="L114" s="103">
        <v>0</v>
      </c>
      <c r="M114" s="83"/>
      <c r="N114" s="83"/>
      <c r="O114" s="83"/>
    </row>
    <row r="115" spans="1:15" ht="11.25">
      <c r="A115" s="83"/>
      <c r="B115" s="143" t="s">
        <v>34</v>
      </c>
      <c r="C115" s="143"/>
      <c r="D115" s="71"/>
      <c r="E115" s="71"/>
      <c r="F115" s="71">
        <v>100941.8916357</v>
      </c>
      <c r="G115" s="85"/>
      <c r="H115" s="85">
        <f>SUM(F115:G115)</f>
        <v>100941.8916357</v>
      </c>
      <c r="I115" s="86"/>
      <c r="J115" s="149" t="s">
        <v>391</v>
      </c>
      <c r="K115" s="149"/>
      <c r="L115" s="109">
        <f>SUM(L108:L110,L112,L114)</f>
        <v>20546.505000000096</v>
      </c>
      <c r="M115" s="83"/>
      <c r="N115" s="83"/>
      <c r="O115" s="83"/>
    </row>
    <row r="116" spans="1:15" ht="11.25">
      <c r="A116" s="83"/>
      <c r="B116" s="75" t="s">
        <v>151</v>
      </c>
      <c r="C116" s="75"/>
      <c r="D116" s="71"/>
      <c r="E116" s="71"/>
      <c r="F116" s="71">
        <v>0</v>
      </c>
      <c r="G116" s="85"/>
      <c r="H116" s="85"/>
      <c r="I116" s="86"/>
      <c r="J116" s="78" t="s">
        <v>324</v>
      </c>
      <c r="K116" s="78"/>
      <c r="L116" s="73">
        <v>21780.636154547414</v>
      </c>
      <c r="M116" s="83"/>
      <c r="N116" s="83"/>
      <c r="O116" s="83"/>
    </row>
    <row r="117" spans="1:15" ht="11.25">
      <c r="A117" s="83"/>
      <c r="B117" s="143" t="s">
        <v>133</v>
      </c>
      <c r="C117" s="143"/>
      <c r="D117" s="71"/>
      <c r="E117" s="71"/>
      <c r="F117" s="71">
        <v>0</v>
      </c>
      <c r="G117" s="85"/>
      <c r="H117" s="85"/>
      <c r="I117" s="86"/>
      <c r="J117" s="132" t="s">
        <v>181</v>
      </c>
      <c r="K117" s="132"/>
      <c r="L117" s="133">
        <f>SUM($L115:$L116)</f>
        <v>42327.14115454751</v>
      </c>
      <c r="M117" s="83"/>
      <c r="N117" s="83"/>
      <c r="O117" s="83"/>
    </row>
    <row r="118" spans="1:15" ht="13.5">
      <c r="A118" s="83"/>
      <c r="B118" s="144" t="s">
        <v>387</v>
      </c>
      <c r="C118" s="144"/>
      <c r="D118" s="144"/>
      <c r="E118" s="76"/>
      <c r="F118" s="73">
        <f>SUM($F113:$F117)</f>
        <v>263194.0877902474</v>
      </c>
      <c r="G118" s="74">
        <f>$F118/$F119</f>
        <v>0.811540718392937</v>
      </c>
      <c r="H118" s="80">
        <f>H98+3</f>
        <v>37998</v>
      </c>
      <c r="I118" s="86"/>
      <c r="J118" s="145" t="s">
        <v>180</v>
      </c>
      <c r="K118" s="145"/>
      <c r="L118" s="108">
        <f>$F119+$L115+$L111+$L113</f>
        <v>324860.5927902475</v>
      </c>
      <c r="M118" s="83"/>
      <c r="N118" s="83"/>
      <c r="O118" s="83"/>
    </row>
    <row r="119" spans="1:15" ht="13.5">
      <c r="A119" s="83"/>
      <c r="B119" s="146" t="s">
        <v>18</v>
      </c>
      <c r="C119" s="146"/>
      <c r="D119" s="146"/>
      <c r="E119" s="77"/>
      <c r="F119" s="97">
        <f>SUM($F112,$F118)</f>
        <v>324314.0877902474</v>
      </c>
      <c r="G119" s="79">
        <f>SUM($G112,$G118)</f>
        <v>1</v>
      </c>
      <c r="H119" s="89"/>
      <c r="I119" s="86"/>
      <c r="J119" s="83"/>
      <c r="K119" s="83"/>
      <c r="L119" s="83"/>
      <c r="M119" s="83"/>
      <c r="N119" s="83"/>
      <c r="O119" s="83"/>
    </row>
    <row r="120" spans="1:15" ht="11.25">
      <c r="A120" s="83"/>
      <c r="B120" s="83"/>
      <c r="C120" s="83"/>
      <c r="D120" s="83"/>
      <c r="E120" s="83"/>
      <c r="F120" s="83"/>
      <c r="G120" s="89"/>
      <c r="H120" s="90"/>
      <c r="I120" s="86"/>
      <c r="J120" s="83"/>
      <c r="K120" s="83"/>
      <c r="L120" s="83"/>
      <c r="M120" s="83"/>
      <c r="N120" s="83"/>
      <c r="O120" s="83"/>
    </row>
    <row r="121" spans="1:15" ht="15.75">
      <c r="A121" s="83"/>
      <c r="B121" s="98"/>
      <c r="C121" s="98"/>
      <c r="D121" s="98"/>
      <c r="E121" s="99"/>
      <c r="F121" s="86"/>
      <c r="G121" s="100" t="s">
        <v>379</v>
      </c>
      <c r="H121" s="151">
        <f>H101+1</f>
        <v>37994</v>
      </c>
      <c r="I121" s="151"/>
      <c r="J121" s="151"/>
      <c r="K121" s="83"/>
      <c r="L121" s="83"/>
      <c r="M121" s="83"/>
      <c r="N121" s="83"/>
      <c r="O121" s="83"/>
    </row>
    <row r="122" spans="1:15" ht="11.25">
      <c r="A122" s="84"/>
      <c r="B122" s="152" t="s">
        <v>394</v>
      </c>
      <c r="C122" s="152"/>
      <c r="D122" s="152"/>
      <c r="E122" s="152"/>
      <c r="F122" s="152"/>
      <c r="G122" s="152"/>
      <c r="H122" s="152"/>
      <c r="I122" s="87"/>
      <c r="J122" s="91" t="s">
        <v>396</v>
      </c>
      <c r="K122" s="91"/>
      <c r="L122" s="70">
        <v>16967.852443668453</v>
      </c>
      <c r="M122" s="95"/>
      <c r="N122" s="96"/>
      <c r="O122" s="84"/>
    </row>
    <row r="123" spans="1:15" ht="11.25">
      <c r="A123" s="83"/>
      <c r="B123" s="68" t="s">
        <v>2</v>
      </c>
      <c r="C123" s="68" t="s">
        <v>4</v>
      </c>
      <c r="D123" s="68" t="s">
        <v>9</v>
      </c>
      <c r="E123" s="68" t="s">
        <v>10</v>
      </c>
      <c r="F123" s="68" t="s">
        <v>11</v>
      </c>
      <c r="G123" s="68" t="s">
        <v>12</v>
      </c>
      <c r="H123" s="68" t="s">
        <v>384</v>
      </c>
      <c r="I123" s="86"/>
      <c r="J123" s="91" t="s">
        <v>399</v>
      </c>
      <c r="K123" s="91"/>
      <c r="L123" s="104">
        <v>0</v>
      </c>
      <c r="M123" s="82" t="s">
        <v>395</v>
      </c>
      <c r="N123" s="106">
        <v>0</v>
      </c>
      <c r="O123" s="83"/>
    </row>
    <row r="124" spans="1:15" ht="11.25">
      <c r="A124" s="83"/>
      <c r="B124" s="69" t="s">
        <v>334</v>
      </c>
      <c r="C124" s="70">
        <v>300</v>
      </c>
      <c r="D124" s="71">
        <v>28.5</v>
      </c>
      <c r="E124" s="71">
        <v>29</v>
      </c>
      <c r="F124" s="71">
        <f>$C124*$E124</f>
        <v>8700</v>
      </c>
      <c r="G124" s="72">
        <f>$F124/$F139</f>
        <v>0.026815579824820277</v>
      </c>
      <c r="H124" s="71">
        <f>$F124-($C124*$D124)</f>
        <v>150</v>
      </c>
      <c r="I124" s="88"/>
      <c r="J124" s="91" t="s">
        <v>400</v>
      </c>
      <c r="K124" s="91"/>
      <c r="L124" s="104">
        <v>0</v>
      </c>
      <c r="M124" s="82" t="s">
        <v>395</v>
      </c>
      <c r="N124" s="131">
        <v>0</v>
      </c>
      <c r="O124" s="83"/>
    </row>
    <row r="125" spans="1:15" ht="11.25">
      <c r="A125" s="83"/>
      <c r="B125" s="69" t="s">
        <v>486</v>
      </c>
      <c r="C125" s="70">
        <v>300</v>
      </c>
      <c r="D125" s="71">
        <v>103.3</v>
      </c>
      <c r="E125" s="71">
        <v>104</v>
      </c>
      <c r="F125" s="71">
        <f>$C125*$E125</f>
        <v>31200</v>
      </c>
      <c r="G125" s="72">
        <f>$F125/$F139</f>
        <v>0.09616621730280375</v>
      </c>
      <c r="H125" s="71">
        <f>$F125-($C125*$D125)</f>
        <v>210</v>
      </c>
      <c r="I125" s="86"/>
      <c r="J125" s="101" t="s">
        <v>424</v>
      </c>
      <c r="K125" s="102"/>
      <c r="L125" s="105">
        <f>$L122-$L123+$L124</f>
        <v>16967.852443668453</v>
      </c>
      <c r="M125" s="83"/>
      <c r="N125" s="83"/>
      <c r="O125" s="83"/>
    </row>
    <row r="126" spans="1:15" ht="11.25">
      <c r="A126" s="83"/>
      <c r="B126" s="69" t="s">
        <v>320</v>
      </c>
      <c r="C126" s="70">
        <v>2000</v>
      </c>
      <c r="D126" s="71">
        <v>4.7</v>
      </c>
      <c r="E126" s="71">
        <v>4.32</v>
      </c>
      <c r="F126" s="71">
        <f>$C126*$E126</f>
        <v>8640</v>
      </c>
      <c r="G126" s="72">
        <f>$F126/$F139</f>
        <v>0.026630644791545657</v>
      </c>
      <c r="H126" s="71">
        <f>$F126-($C126*$D126)</f>
        <v>-760</v>
      </c>
      <c r="I126" s="88"/>
      <c r="J126" s="153" t="s">
        <v>30</v>
      </c>
      <c r="K126" s="153"/>
      <c r="L126" s="107">
        <f>$F139/$L125</f>
        <v>19.12076138493952</v>
      </c>
      <c r="M126" s="83"/>
      <c r="N126" s="83"/>
      <c r="O126" s="83"/>
    </row>
    <row r="127" spans="1:15" ht="11.25">
      <c r="A127" s="83"/>
      <c r="B127" s="69" t="s">
        <v>429</v>
      </c>
      <c r="C127" s="70">
        <v>700</v>
      </c>
      <c r="D127" s="71">
        <v>40.6</v>
      </c>
      <c r="E127" s="71">
        <v>41</v>
      </c>
      <c r="F127" s="71">
        <f>$C127*$E127</f>
        <v>28700</v>
      </c>
      <c r="G127" s="72">
        <f>$F127/$F139</f>
        <v>0.08846059091636115</v>
      </c>
      <c r="H127" s="71">
        <f>$F127-($C127*$D127)</f>
        <v>280</v>
      </c>
      <c r="I127" s="86"/>
      <c r="J127" s="154" t="s">
        <v>385</v>
      </c>
      <c r="K127" s="154"/>
      <c r="L127" s="154"/>
      <c r="M127" s="83"/>
      <c r="N127" s="83"/>
      <c r="O127" s="83"/>
    </row>
    <row r="128" spans="1:15" ht="11.25">
      <c r="A128" s="83"/>
      <c r="B128" s="69"/>
      <c r="C128" s="70"/>
      <c r="D128" s="71"/>
      <c r="E128" s="71"/>
      <c r="F128" s="71"/>
      <c r="G128" s="72"/>
      <c r="H128" s="71"/>
      <c r="I128" s="86"/>
      <c r="J128" s="92" t="s">
        <v>390</v>
      </c>
      <c r="K128" s="93"/>
      <c r="L128" s="136">
        <v>20546.505000000096</v>
      </c>
      <c r="M128" s="83"/>
      <c r="N128" s="83"/>
      <c r="O128" s="83"/>
    </row>
    <row r="129" spans="1:15" ht="11.25">
      <c r="A129" s="83"/>
      <c r="B129" s="69"/>
      <c r="C129" s="70"/>
      <c r="D129" s="71"/>
      <c r="E129" s="71"/>
      <c r="F129" s="71"/>
      <c r="G129" s="72"/>
      <c r="H129" s="71"/>
      <c r="I129" s="88"/>
      <c r="J129" s="148" t="s">
        <v>388</v>
      </c>
      <c r="K129" s="148"/>
      <c r="L129" s="103">
        <v>0</v>
      </c>
      <c r="M129" s="83"/>
      <c r="N129" s="83"/>
      <c r="O129" s="83"/>
    </row>
    <row r="130" spans="1:15" ht="11.25">
      <c r="A130" s="83"/>
      <c r="B130" s="69"/>
      <c r="C130" s="70"/>
      <c r="D130" s="71"/>
      <c r="E130" s="71"/>
      <c r="F130" s="71"/>
      <c r="G130" s="72"/>
      <c r="H130" s="71"/>
      <c r="I130" s="86"/>
      <c r="J130" s="148" t="s">
        <v>389</v>
      </c>
      <c r="K130" s="148"/>
      <c r="L130" s="103">
        <v>0</v>
      </c>
      <c r="M130" s="83"/>
      <c r="N130" s="83"/>
      <c r="O130" s="83"/>
    </row>
    <row r="131" spans="1:15" ht="11.25">
      <c r="A131" s="83"/>
      <c r="B131" s="69"/>
      <c r="C131" s="70"/>
      <c r="D131" s="71"/>
      <c r="E131" s="71"/>
      <c r="F131" s="71"/>
      <c r="G131" s="72"/>
      <c r="H131" s="71"/>
      <c r="I131" s="88"/>
      <c r="J131" s="147" t="s">
        <v>397</v>
      </c>
      <c r="K131" s="147"/>
      <c r="L131" s="110">
        <f>$L123*$N123</f>
        <v>0</v>
      </c>
      <c r="M131" s="83"/>
      <c r="N131" s="81"/>
      <c r="O131" s="83"/>
    </row>
    <row r="132" spans="1:15" ht="11.25">
      <c r="A132" s="83"/>
      <c r="B132" s="150" t="s">
        <v>31</v>
      </c>
      <c r="C132" s="150"/>
      <c r="D132" s="150"/>
      <c r="E132" s="73"/>
      <c r="F132" s="73">
        <f>SUM($F124:$F131)</f>
        <v>77240</v>
      </c>
      <c r="G132" s="74">
        <f>SUM($G124:$G131)</f>
        <v>0.23807303283553083</v>
      </c>
      <c r="H132" s="71">
        <f>SUM(H124:H131)</f>
        <v>-120</v>
      </c>
      <c r="I132" s="86"/>
      <c r="J132" s="148" t="s">
        <v>393</v>
      </c>
      <c r="K132" s="148"/>
      <c r="L132" s="103">
        <v>0</v>
      </c>
      <c r="M132" s="94"/>
      <c r="N132" s="83"/>
      <c r="O132" s="83"/>
    </row>
    <row r="133" spans="1:15" ht="11.25">
      <c r="A133" s="83"/>
      <c r="B133" s="143" t="s">
        <v>386</v>
      </c>
      <c r="C133" s="143"/>
      <c r="D133" s="71"/>
      <c r="E133" s="71"/>
      <c r="F133" s="71">
        <v>263194.0877902474</v>
      </c>
      <c r="G133" s="85"/>
      <c r="H133" s="85"/>
      <c r="I133" s="86"/>
      <c r="J133" s="147" t="s">
        <v>398</v>
      </c>
      <c r="K133" s="147"/>
      <c r="L133" s="110">
        <v>-20000</v>
      </c>
      <c r="M133" s="83"/>
      <c r="N133" s="118">
        <v>37995</v>
      </c>
      <c r="O133" s="83"/>
    </row>
    <row r="134" spans="1:15" ht="11.25">
      <c r="A134" s="83"/>
      <c r="B134" s="75" t="s">
        <v>14</v>
      </c>
      <c r="C134" s="75"/>
      <c r="D134" s="71"/>
      <c r="E134" s="71"/>
      <c r="F134" s="71">
        <v>-15995.83</v>
      </c>
      <c r="G134" s="85"/>
      <c r="H134" s="85"/>
      <c r="I134" s="86"/>
      <c r="J134" s="148" t="s">
        <v>392</v>
      </c>
      <c r="K134" s="148"/>
      <c r="L134" s="103">
        <v>0</v>
      </c>
      <c r="M134" s="83"/>
      <c r="N134" s="83"/>
      <c r="O134" s="83"/>
    </row>
    <row r="135" spans="1:15" ht="11.25">
      <c r="A135" s="83"/>
      <c r="B135" s="143" t="s">
        <v>34</v>
      </c>
      <c r="C135" s="143"/>
      <c r="D135" s="71"/>
      <c r="E135" s="71"/>
      <c r="F135" s="71">
        <v>0</v>
      </c>
      <c r="G135" s="85"/>
      <c r="H135" s="85">
        <f>SUM(F135:G135)</f>
        <v>0</v>
      </c>
      <c r="I135" s="86"/>
      <c r="J135" s="149" t="s">
        <v>391</v>
      </c>
      <c r="K135" s="149"/>
      <c r="L135" s="109">
        <f>SUM(L128:L130,L132,L134)</f>
        <v>20546.505000000096</v>
      </c>
      <c r="M135" s="83"/>
      <c r="N135" s="83"/>
      <c r="O135" s="83"/>
    </row>
    <row r="136" spans="1:15" ht="11.25">
      <c r="A136" s="83"/>
      <c r="B136" s="75" t="s">
        <v>151</v>
      </c>
      <c r="C136" s="75"/>
      <c r="D136" s="71"/>
      <c r="E136" s="71"/>
      <c r="F136" s="71">
        <v>0</v>
      </c>
      <c r="G136" s="85"/>
      <c r="H136" s="85"/>
      <c r="I136" s="86"/>
      <c r="J136" s="78" t="s">
        <v>324</v>
      </c>
      <c r="K136" s="78"/>
      <c r="L136" s="73">
        <v>17332.896154547416</v>
      </c>
      <c r="M136" s="83"/>
      <c r="N136" s="83"/>
      <c r="O136" s="83"/>
    </row>
    <row r="137" spans="1:15" ht="11.25">
      <c r="A137" s="83"/>
      <c r="B137" s="143" t="s">
        <v>133</v>
      </c>
      <c r="C137" s="143"/>
      <c r="D137" s="71"/>
      <c r="E137" s="71"/>
      <c r="F137" s="71">
        <v>0</v>
      </c>
      <c r="G137" s="85"/>
      <c r="H137" s="85"/>
      <c r="I137" s="86"/>
      <c r="J137" s="132" t="s">
        <v>181</v>
      </c>
      <c r="K137" s="132"/>
      <c r="L137" s="133">
        <f>SUM($L135:$L136)</f>
        <v>37879.40115454751</v>
      </c>
      <c r="M137" s="83"/>
      <c r="N137" s="83"/>
      <c r="O137" s="83"/>
    </row>
    <row r="138" spans="1:15" ht="13.5">
      <c r="A138" s="83"/>
      <c r="B138" s="144" t="s">
        <v>387</v>
      </c>
      <c r="C138" s="144"/>
      <c r="D138" s="144"/>
      <c r="E138" s="76"/>
      <c r="F138" s="73">
        <f>SUM($F133:$F137)</f>
        <v>247198.25779024741</v>
      </c>
      <c r="G138" s="74">
        <f>$F138/$F139</f>
        <v>0.7619269671644691</v>
      </c>
      <c r="H138" s="80">
        <f>H118+1</f>
        <v>37999</v>
      </c>
      <c r="I138" s="86"/>
      <c r="J138" s="145" t="s">
        <v>180</v>
      </c>
      <c r="K138" s="145"/>
      <c r="L138" s="108">
        <f>$F139+$L135+$L131+$L133</f>
        <v>324984.76279024757</v>
      </c>
      <c r="M138" s="83"/>
      <c r="N138" s="83"/>
      <c r="O138" s="83"/>
    </row>
    <row r="139" spans="1:15" ht="13.5">
      <c r="A139" s="83"/>
      <c r="B139" s="146" t="s">
        <v>18</v>
      </c>
      <c r="C139" s="146"/>
      <c r="D139" s="146"/>
      <c r="E139" s="77"/>
      <c r="F139" s="97">
        <f>SUM($F132,$F138)</f>
        <v>324438.25779024744</v>
      </c>
      <c r="G139" s="79">
        <f>SUM($G132,$G138)</f>
        <v>0.9999999999999999</v>
      </c>
      <c r="H139" s="89"/>
      <c r="I139" s="86"/>
      <c r="J139" s="83"/>
      <c r="K139" s="83"/>
      <c r="L139" s="83"/>
      <c r="M139" s="83"/>
      <c r="N139" s="83"/>
      <c r="O139" s="83"/>
    </row>
    <row r="140" spans="1:15" ht="11.25">
      <c r="A140" s="83"/>
      <c r="B140" s="83"/>
      <c r="C140" s="83"/>
      <c r="D140" s="83"/>
      <c r="E140" s="83"/>
      <c r="F140" s="83"/>
      <c r="G140" s="89"/>
      <c r="H140" s="90"/>
      <c r="I140" s="86"/>
      <c r="J140" s="83"/>
      <c r="K140" s="83"/>
      <c r="L140" s="83"/>
      <c r="M140" s="83"/>
      <c r="N140" s="83"/>
      <c r="O140" s="83"/>
    </row>
    <row r="141" spans="1:15" ht="15.75">
      <c r="A141" s="83"/>
      <c r="B141" s="98"/>
      <c r="C141" s="98"/>
      <c r="D141" s="98"/>
      <c r="E141" s="99"/>
      <c r="F141" s="86"/>
      <c r="G141" s="100" t="s">
        <v>381</v>
      </c>
      <c r="H141" s="151">
        <f>H121+1</f>
        <v>37995</v>
      </c>
      <c r="I141" s="151"/>
      <c r="J141" s="151"/>
      <c r="K141" s="83"/>
      <c r="L141" s="83"/>
      <c r="M141" s="83"/>
      <c r="N141" s="83"/>
      <c r="O141" s="83"/>
    </row>
    <row r="142" spans="1:15" ht="11.25">
      <c r="A142" s="84"/>
      <c r="B142" s="152" t="s">
        <v>394</v>
      </c>
      <c r="C142" s="152"/>
      <c r="D142" s="152"/>
      <c r="E142" s="152"/>
      <c r="F142" s="152"/>
      <c r="G142" s="152"/>
      <c r="H142" s="152"/>
      <c r="I142" s="87"/>
      <c r="J142" s="91" t="s">
        <v>396</v>
      </c>
      <c r="K142" s="91"/>
      <c r="L142" s="70">
        <v>16967.852443668453</v>
      </c>
      <c r="M142" s="95"/>
      <c r="N142" s="96"/>
      <c r="O142" s="84"/>
    </row>
    <row r="143" spans="1:15" ht="11.25">
      <c r="A143" s="83"/>
      <c r="B143" s="68" t="s">
        <v>2</v>
      </c>
      <c r="C143" s="68" t="s">
        <v>4</v>
      </c>
      <c r="D143" s="68" t="s">
        <v>9</v>
      </c>
      <c r="E143" s="68" t="s">
        <v>10</v>
      </c>
      <c r="F143" s="68" t="s">
        <v>11</v>
      </c>
      <c r="G143" s="68" t="s">
        <v>12</v>
      </c>
      <c r="H143" s="68" t="s">
        <v>384</v>
      </c>
      <c r="I143" s="86"/>
      <c r="J143" s="91" t="s">
        <v>399</v>
      </c>
      <c r="K143" s="91"/>
      <c r="L143" s="104">
        <v>0</v>
      </c>
      <c r="M143" s="82" t="s">
        <v>395</v>
      </c>
      <c r="N143" s="106">
        <v>0</v>
      </c>
      <c r="O143" s="83"/>
    </row>
    <row r="144" spans="1:15" ht="11.25">
      <c r="A144" s="83"/>
      <c r="B144" s="69" t="s">
        <v>334</v>
      </c>
      <c r="C144" s="70">
        <v>300</v>
      </c>
      <c r="D144" s="71">
        <v>28.5</v>
      </c>
      <c r="E144" s="71">
        <v>28</v>
      </c>
      <c r="F144" s="71">
        <f>$C144*$E144</f>
        <v>8400</v>
      </c>
      <c r="G144" s="72">
        <f>$F144/$F159</f>
        <v>0.026000385107346046</v>
      </c>
      <c r="H144" s="71">
        <f>$F144-($C144*$D144)</f>
        <v>-150</v>
      </c>
      <c r="I144" s="88"/>
      <c r="J144" s="91" t="s">
        <v>400</v>
      </c>
      <c r="K144" s="91"/>
      <c r="L144" s="104">
        <v>0</v>
      </c>
      <c r="M144" s="82" t="s">
        <v>395</v>
      </c>
      <c r="N144" s="131">
        <v>0</v>
      </c>
      <c r="O144" s="83"/>
    </row>
    <row r="145" spans="1:15" ht="11.25">
      <c r="A145" s="83"/>
      <c r="B145" s="69" t="s">
        <v>486</v>
      </c>
      <c r="C145" s="70">
        <v>400</v>
      </c>
      <c r="D145" s="71">
        <v>103.3</v>
      </c>
      <c r="E145" s="71">
        <v>104</v>
      </c>
      <c r="F145" s="71">
        <f>$C145*$E145</f>
        <v>41600</v>
      </c>
      <c r="G145" s="72">
        <f>$F145/$F159</f>
        <v>0.12876381196018996</v>
      </c>
      <c r="H145" s="71">
        <f>$F145-($C145*$D145)</f>
        <v>280</v>
      </c>
      <c r="I145" s="86"/>
      <c r="J145" s="101" t="s">
        <v>424</v>
      </c>
      <c r="K145" s="102"/>
      <c r="L145" s="105">
        <f>$L142-$L143+$L144</f>
        <v>16967.852443668453</v>
      </c>
      <c r="M145" s="83"/>
      <c r="N145" s="83"/>
      <c r="O145" s="83"/>
    </row>
    <row r="146" spans="1:15" ht="11.25">
      <c r="A146" s="83"/>
      <c r="B146" s="69" t="s">
        <v>320</v>
      </c>
      <c r="C146" s="70">
        <v>2000</v>
      </c>
      <c r="D146" s="71">
        <v>4.7</v>
      </c>
      <c r="E146" s="71">
        <v>4.34</v>
      </c>
      <c r="F146" s="71">
        <f>$C146*$E146</f>
        <v>8680</v>
      </c>
      <c r="G146" s="72">
        <f>$F146/$F159</f>
        <v>0.026867064610924248</v>
      </c>
      <c r="H146" s="71">
        <f>$F146-($C146*$D146)</f>
        <v>-720</v>
      </c>
      <c r="I146" s="88"/>
      <c r="J146" s="153" t="s">
        <v>30</v>
      </c>
      <c r="K146" s="153"/>
      <c r="L146" s="107">
        <f>$F159/$L145</f>
        <v>19.040249133637516</v>
      </c>
      <c r="M146" s="83"/>
      <c r="N146" s="83"/>
      <c r="O146" s="83"/>
    </row>
    <row r="147" spans="1:15" ht="11.25">
      <c r="A147" s="83"/>
      <c r="B147" s="69" t="s">
        <v>28</v>
      </c>
      <c r="C147" s="70">
        <v>1000</v>
      </c>
      <c r="D147" s="71">
        <v>12</v>
      </c>
      <c r="E147" s="71">
        <v>11.5</v>
      </c>
      <c r="F147" s="71">
        <f>$C147*$E147</f>
        <v>11500</v>
      </c>
      <c r="G147" s="72">
        <f>$F147/$F159</f>
        <v>0.03559576532553328</v>
      </c>
      <c r="H147" s="71">
        <f>$F147-($C147*$D147)</f>
        <v>-500</v>
      </c>
      <c r="I147" s="86"/>
      <c r="J147" s="154" t="s">
        <v>385</v>
      </c>
      <c r="K147" s="154"/>
      <c r="L147" s="154"/>
      <c r="M147" s="83"/>
      <c r="N147" s="83"/>
      <c r="O147" s="83"/>
    </row>
    <row r="148" spans="1:15" ht="11.25">
      <c r="A148" s="83"/>
      <c r="B148" s="69" t="s">
        <v>497</v>
      </c>
      <c r="C148" s="70">
        <v>1000</v>
      </c>
      <c r="D148" s="71">
        <v>26.7</v>
      </c>
      <c r="E148" s="71">
        <v>26.25</v>
      </c>
      <c r="F148" s="71">
        <f>$C148*$E148</f>
        <v>26250</v>
      </c>
      <c r="G148" s="72">
        <f>$F148/$F159</f>
        <v>0.0812512034604564</v>
      </c>
      <c r="H148" s="71">
        <f>$F148-($C148*$D148)</f>
        <v>-450</v>
      </c>
      <c r="I148" s="86"/>
      <c r="J148" s="92" t="s">
        <v>390</v>
      </c>
      <c r="K148" s="93"/>
      <c r="L148" s="136">
        <v>20546.505000000096</v>
      </c>
      <c r="M148" s="83"/>
      <c r="N148" s="83"/>
      <c r="O148" s="83"/>
    </row>
    <row r="149" spans="1:15" ht="11.25">
      <c r="A149" s="83"/>
      <c r="B149" s="69"/>
      <c r="C149" s="70"/>
      <c r="D149" s="71"/>
      <c r="E149" s="71"/>
      <c r="F149" s="71"/>
      <c r="G149" s="72"/>
      <c r="H149" s="71"/>
      <c r="I149" s="88"/>
      <c r="J149" s="148" t="s">
        <v>388</v>
      </c>
      <c r="K149" s="148"/>
      <c r="L149" s="103">
        <v>0</v>
      </c>
      <c r="M149" s="83"/>
      <c r="N149" s="83"/>
      <c r="O149" s="83"/>
    </row>
    <row r="150" spans="1:15" ht="11.25">
      <c r="A150" s="83"/>
      <c r="B150" s="69"/>
      <c r="C150" s="70"/>
      <c r="D150" s="71"/>
      <c r="E150" s="71"/>
      <c r="F150" s="71"/>
      <c r="G150" s="72"/>
      <c r="H150" s="71"/>
      <c r="I150" s="86"/>
      <c r="J150" s="148" t="s">
        <v>389</v>
      </c>
      <c r="K150" s="148"/>
      <c r="L150" s="103">
        <v>0</v>
      </c>
      <c r="M150" s="83"/>
      <c r="N150" s="83"/>
      <c r="O150" s="83"/>
    </row>
    <row r="151" spans="1:15" ht="11.25">
      <c r="A151" s="83"/>
      <c r="B151" s="69"/>
      <c r="C151" s="70"/>
      <c r="D151" s="71"/>
      <c r="E151" s="71"/>
      <c r="F151" s="71"/>
      <c r="G151" s="72"/>
      <c r="H151" s="71"/>
      <c r="I151" s="88"/>
      <c r="J151" s="147" t="s">
        <v>397</v>
      </c>
      <c r="K151" s="147"/>
      <c r="L151" s="110">
        <f>$L143*$N143</f>
        <v>0</v>
      </c>
      <c r="M151" s="83"/>
      <c r="N151" s="81"/>
      <c r="O151" s="83"/>
    </row>
    <row r="152" spans="1:15" ht="11.25">
      <c r="A152" s="83"/>
      <c r="B152" s="150" t="s">
        <v>31</v>
      </c>
      <c r="C152" s="150"/>
      <c r="D152" s="150"/>
      <c r="E152" s="73"/>
      <c r="F152" s="73">
        <f>SUM($F144:$F151)</f>
        <v>96430</v>
      </c>
      <c r="G152" s="74">
        <f>SUM($G144:$G151)</f>
        <v>0.29847823046444993</v>
      </c>
      <c r="H152" s="71">
        <f>SUM(H144:H151)</f>
        <v>-1540</v>
      </c>
      <c r="I152" s="86"/>
      <c r="J152" s="148" t="s">
        <v>393</v>
      </c>
      <c r="K152" s="148"/>
      <c r="L152" s="103">
        <v>0</v>
      </c>
      <c r="M152" s="94"/>
      <c r="N152" s="83"/>
      <c r="O152" s="83"/>
    </row>
    <row r="153" spans="1:15" ht="11.25">
      <c r="A153" s="83"/>
      <c r="B153" s="143" t="s">
        <v>386</v>
      </c>
      <c r="C153" s="143"/>
      <c r="D153" s="71"/>
      <c r="E153" s="71"/>
      <c r="F153" s="71">
        <v>247198.25779024741</v>
      </c>
      <c r="G153" s="85"/>
      <c r="H153" s="85"/>
      <c r="I153" s="86"/>
      <c r="J153" s="147" t="s">
        <v>398</v>
      </c>
      <c r="K153" s="147"/>
      <c r="L153" s="110"/>
      <c r="M153" s="83"/>
      <c r="N153" s="118"/>
      <c r="O153" s="83"/>
    </row>
    <row r="154" spans="1:15" ht="11.25">
      <c r="A154" s="83"/>
      <c r="B154" s="75" t="s">
        <v>14</v>
      </c>
      <c r="C154" s="75"/>
      <c r="D154" s="71"/>
      <c r="E154" s="71"/>
      <c r="F154" s="71">
        <v>-20556.12</v>
      </c>
      <c r="G154" s="85"/>
      <c r="H154" s="85"/>
      <c r="I154" s="86"/>
      <c r="J154" s="148" t="s">
        <v>392</v>
      </c>
      <c r="K154" s="148"/>
      <c r="L154" s="103">
        <v>-20000</v>
      </c>
      <c r="M154" s="83"/>
      <c r="N154" s="83"/>
      <c r="O154" s="83"/>
    </row>
    <row r="155" spans="1:15" ht="11.25">
      <c r="A155" s="83"/>
      <c r="B155" s="143" t="s">
        <v>34</v>
      </c>
      <c r="C155" s="143"/>
      <c r="D155" s="71"/>
      <c r="E155" s="71"/>
      <c r="F155" s="71">
        <v>0</v>
      </c>
      <c r="G155" s="85"/>
      <c r="H155" s="85">
        <f>SUM(F155:G155)</f>
        <v>0</v>
      </c>
      <c r="I155" s="86"/>
      <c r="J155" s="149" t="s">
        <v>391</v>
      </c>
      <c r="K155" s="149"/>
      <c r="L155" s="109">
        <f>SUM(L148:L150,L152,L154)</f>
        <v>546.5050000000956</v>
      </c>
      <c r="M155" s="83"/>
      <c r="N155" s="83"/>
      <c r="O155" s="83"/>
    </row>
    <row r="156" spans="1:15" ht="11.25">
      <c r="A156" s="83"/>
      <c r="B156" s="75" t="s">
        <v>151</v>
      </c>
      <c r="C156" s="75"/>
      <c r="D156" s="71"/>
      <c r="E156" s="71"/>
      <c r="F156" s="71">
        <v>0</v>
      </c>
      <c r="G156" s="85"/>
      <c r="H156" s="85"/>
      <c r="I156" s="86"/>
      <c r="J156" s="78" t="s">
        <v>324</v>
      </c>
      <c r="K156" s="78"/>
      <c r="L156" s="73">
        <v>162252.19615454742</v>
      </c>
      <c r="M156" s="83"/>
      <c r="N156" s="83"/>
      <c r="O156" s="83"/>
    </row>
    <row r="157" spans="1:15" ht="11.25">
      <c r="A157" s="83"/>
      <c r="B157" s="143" t="s">
        <v>133</v>
      </c>
      <c r="C157" s="143"/>
      <c r="D157" s="71"/>
      <c r="E157" s="71"/>
      <c r="F157" s="71">
        <v>0</v>
      </c>
      <c r="G157" s="85"/>
      <c r="H157" s="85"/>
      <c r="I157" s="86"/>
      <c r="J157" s="132" t="s">
        <v>181</v>
      </c>
      <c r="K157" s="132"/>
      <c r="L157" s="133">
        <f>SUM($L155:$L156)</f>
        <v>162798.7011545475</v>
      </c>
      <c r="M157" s="83"/>
      <c r="N157" s="83"/>
      <c r="O157" s="83"/>
    </row>
    <row r="158" spans="1:15" ht="13.5">
      <c r="A158" s="83"/>
      <c r="B158" s="144" t="s">
        <v>387</v>
      </c>
      <c r="C158" s="144"/>
      <c r="D158" s="144"/>
      <c r="E158" s="76"/>
      <c r="F158" s="73">
        <f>SUM($F153:$F157)</f>
        <v>226642.13779024742</v>
      </c>
      <c r="G158" s="74">
        <f>$F158/$F159</f>
        <v>0.70152176953555</v>
      </c>
      <c r="H158" s="80">
        <f>H138+1</f>
        <v>38000</v>
      </c>
      <c r="I158" s="86"/>
      <c r="J158" s="145" t="s">
        <v>180</v>
      </c>
      <c r="K158" s="145"/>
      <c r="L158" s="108">
        <f>$F159+$L155+$L151+$L153</f>
        <v>323618.64279024757</v>
      </c>
      <c r="M158" s="83"/>
      <c r="N158" s="83"/>
      <c r="O158" s="83"/>
    </row>
    <row r="159" spans="1:15" ht="13.5">
      <c r="A159" s="83"/>
      <c r="B159" s="146" t="s">
        <v>18</v>
      </c>
      <c r="C159" s="146"/>
      <c r="D159" s="146"/>
      <c r="E159" s="77"/>
      <c r="F159" s="97">
        <f>SUM($F152,$F158)</f>
        <v>323072.13779024745</v>
      </c>
      <c r="G159" s="79">
        <f>SUM($G152,$G158)</f>
        <v>1</v>
      </c>
      <c r="H159" s="89"/>
      <c r="I159" s="86"/>
      <c r="J159" s="83"/>
      <c r="K159" s="83"/>
      <c r="L159" s="83"/>
      <c r="M159" s="83"/>
      <c r="N159" s="83"/>
      <c r="O159" s="83"/>
    </row>
    <row r="160" spans="1:15" ht="11.25">
      <c r="A160" s="83"/>
      <c r="B160" s="83"/>
      <c r="C160" s="83"/>
      <c r="D160" s="83"/>
      <c r="E160" s="83"/>
      <c r="F160" s="83"/>
      <c r="G160" s="89"/>
      <c r="H160" s="90"/>
      <c r="I160" s="86"/>
      <c r="J160" s="83"/>
      <c r="K160" s="83"/>
      <c r="L160" s="83"/>
      <c r="M160" s="83"/>
      <c r="N160" s="83"/>
      <c r="O160" s="83"/>
    </row>
  </sheetData>
  <mergeCells count="144">
    <mergeCell ref="B137:C137"/>
    <mergeCell ref="B138:D138"/>
    <mergeCell ref="J138:K138"/>
    <mergeCell ref="B139:D139"/>
    <mergeCell ref="B133:C133"/>
    <mergeCell ref="J133:K133"/>
    <mergeCell ref="J134:K134"/>
    <mergeCell ref="B135:C135"/>
    <mergeCell ref="J135:K135"/>
    <mergeCell ref="J129:K129"/>
    <mergeCell ref="J130:K130"/>
    <mergeCell ref="J131:K131"/>
    <mergeCell ref="B132:D132"/>
    <mergeCell ref="J132:K132"/>
    <mergeCell ref="H121:J121"/>
    <mergeCell ref="B122:H122"/>
    <mergeCell ref="J126:K126"/>
    <mergeCell ref="J127:L127"/>
    <mergeCell ref="B77:C77"/>
    <mergeCell ref="B78:D78"/>
    <mergeCell ref="J78:K78"/>
    <mergeCell ref="B79:D79"/>
    <mergeCell ref="B73:C73"/>
    <mergeCell ref="J73:K73"/>
    <mergeCell ref="J74:K74"/>
    <mergeCell ref="B75:C75"/>
    <mergeCell ref="J75:K75"/>
    <mergeCell ref="J69:K69"/>
    <mergeCell ref="J70:K70"/>
    <mergeCell ref="J71:K71"/>
    <mergeCell ref="B72:D72"/>
    <mergeCell ref="J72:K72"/>
    <mergeCell ref="H61:J61"/>
    <mergeCell ref="B62:H62"/>
    <mergeCell ref="J66:K66"/>
    <mergeCell ref="J67:L67"/>
    <mergeCell ref="B57:C57"/>
    <mergeCell ref="B58:D58"/>
    <mergeCell ref="J58:K58"/>
    <mergeCell ref="B59:D59"/>
    <mergeCell ref="B53:C53"/>
    <mergeCell ref="J53:K53"/>
    <mergeCell ref="J54:K54"/>
    <mergeCell ref="B55:C55"/>
    <mergeCell ref="J55:K55"/>
    <mergeCell ref="J49:K49"/>
    <mergeCell ref="J50:K50"/>
    <mergeCell ref="J51:K51"/>
    <mergeCell ref="B52:D52"/>
    <mergeCell ref="J52:K52"/>
    <mergeCell ref="H41:J41"/>
    <mergeCell ref="B42:H42"/>
    <mergeCell ref="J46:K46"/>
    <mergeCell ref="J47:L47"/>
    <mergeCell ref="B37:C37"/>
    <mergeCell ref="B38:D38"/>
    <mergeCell ref="J38:K38"/>
    <mergeCell ref="B39:D39"/>
    <mergeCell ref="B33:C33"/>
    <mergeCell ref="J33:K33"/>
    <mergeCell ref="J34:K34"/>
    <mergeCell ref="B35:C35"/>
    <mergeCell ref="J35:K35"/>
    <mergeCell ref="J29:K29"/>
    <mergeCell ref="J30:K30"/>
    <mergeCell ref="J31:K31"/>
    <mergeCell ref="B32:D32"/>
    <mergeCell ref="J32:K32"/>
    <mergeCell ref="H21:J21"/>
    <mergeCell ref="B22:H22"/>
    <mergeCell ref="J26:K26"/>
    <mergeCell ref="J27:L27"/>
    <mergeCell ref="H1:J1"/>
    <mergeCell ref="B2:H2"/>
    <mergeCell ref="J6:K6"/>
    <mergeCell ref="J7:L7"/>
    <mergeCell ref="J9:K9"/>
    <mergeCell ref="J10:K10"/>
    <mergeCell ref="J11:K11"/>
    <mergeCell ref="B12:D12"/>
    <mergeCell ref="J12:K12"/>
    <mergeCell ref="B13:C13"/>
    <mergeCell ref="J13:K13"/>
    <mergeCell ref="J14:K14"/>
    <mergeCell ref="B15:C15"/>
    <mergeCell ref="J15:K15"/>
    <mergeCell ref="B17:C17"/>
    <mergeCell ref="B18:D18"/>
    <mergeCell ref="J18:K18"/>
    <mergeCell ref="B19:D19"/>
    <mergeCell ref="H81:J81"/>
    <mergeCell ref="B82:H82"/>
    <mergeCell ref="J86:K86"/>
    <mergeCell ref="J87:L87"/>
    <mergeCell ref="J89:K89"/>
    <mergeCell ref="J90:K90"/>
    <mergeCell ref="J91:K91"/>
    <mergeCell ref="B92:D92"/>
    <mergeCell ref="J92:K92"/>
    <mergeCell ref="B93:C93"/>
    <mergeCell ref="J93:K93"/>
    <mergeCell ref="J94:K94"/>
    <mergeCell ref="B95:C95"/>
    <mergeCell ref="J95:K95"/>
    <mergeCell ref="B97:C97"/>
    <mergeCell ref="B98:D98"/>
    <mergeCell ref="J98:K98"/>
    <mergeCell ref="B99:D99"/>
    <mergeCell ref="H101:J101"/>
    <mergeCell ref="B102:H102"/>
    <mergeCell ref="J106:K106"/>
    <mergeCell ref="J107:L107"/>
    <mergeCell ref="J109:K109"/>
    <mergeCell ref="J110:K110"/>
    <mergeCell ref="J111:K111"/>
    <mergeCell ref="B112:D112"/>
    <mergeCell ref="J112:K112"/>
    <mergeCell ref="B113:C113"/>
    <mergeCell ref="J113:K113"/>
    <mergeCell ref="J114:K114"/>
    <mergeCell ref="B115:C115"/>
    <mergeCell ref="J115:K115"/>
    <mergeCell ref="B117:C117"/>
    <mergeCell ref="B118:D118"/>
    <mergeCell ref="J118:K118"/>
    <mergeCell ref="B119:D119"/>
    <mergeCell ref="H141:J141"/>
    <mergeCell ref="B142:H142"/>
    <mergeCell ref="J146:K146"/>
    <mergeCell ref="J147:L147"/>
    <mergeCell ref="J149:K149"/>
    <mergeCell ref="J150:K150"/>
    <mergeCell ref="J151:K151"/>
    <mergeCell ref="B152:D152"/>
    <mergeCell ref="J152:K152"/>
    <mergeCell ref="B153:C153"/>
    <mergeCell ref="J153:K153"/>
    <mergeCell ref="J154:K154"/>
    <mergeCell ref="B155:C155"/>
    <mergeCell ref="J155:K155"/>
    <mergeCell ref="B157:C157"/>
    <mergeCell ref="B158:D158"/>
    <mergeCell ref="J158:K158"/>
    <mergeCell ref="B159:D15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58">
      <selection activeCell="L67" sqref="L67"/>
    </sheetView>
  </sheetViews>
  <sheetFormatPr defaultColWidth="9.140625" defaultRowHeight="21.75"/>
  <cols>
    <col min="1" max="1" width="1.8515625" style="2" customWidth="1"/>
    <col min="2" max="2" width="10.57421875" style="3" customWidth="1"/>
    <col min="3" max="3" width="8.7109375" style="3" customWidth="1"/>
    <col min="4" max="4" width="8.57421875" style="3" customWidth="1"/>
    <col min="5" max="5" width="8.00390625" style="4" customWidth="1"/>
    <col min="6" max="6" width="10.140625" style="5" customWidth="1"/>
    <col min="7" max="7" width="7.8515625" style="5" customWidth="1"/>
    <col min="8" max="8" width="9.57421875" style="5" customWidth="1"/>
    <col min="9" max="9" width="2.28125" style="5" customWidth="1"/>
    <col min="10" max="10" width="10.8515625" style="2" customWidth="1"/>
    <col min="11" max="11" width="14.28125" style="2" customWidth="1"/>
    <col min="12" max="12" width="10.140625" style="2" customWidth="1"/>
    <col min="13" max="13" width="2.28125" style="2" customWidth="1"/>
    <col min="14" max="14" width="9.8515625" style="2" customWidth="1"/>
    <col min="15" max="15" width="1.57421875" style="2" customWidth="1"/>
    <col min="16" max="16384" width="14.7109375" style="2" customWidth="1"/>
  </cols>
  <sheetData>
    <row r="1" spans="1:15" ht="15.75">
      <c r="A1" s="83"/>
      <c r="B1" s="98"/>
      <c r="C1" s="98"/>
      <c r="D1" s="98"/>
      <c r="E1" s="99"/>
      <c r="F1" s="86"/>
      <c r="G1" s="100" t="s">
        <v>373</v>
      </c>
      <c r="H1" s="151">
        <v>37998</v>
      </c>
      <c r="I1" s="151"/>
      <c r="J1" s="151"/>
      <c r="K1" s="83"/>
      <c r="L1" s="83"/>
      <c r="M1" s="83"/>
      <c r="N1" s="83"/>
      <c r="O1" s="83"/>
    </row>
    <row r="2" spans="1:15" ht="11.25">
      <c r="A2" s="84"/>
      <c r="B2" s="152" t="s">
        <v>394</v>
      </c>
      <c r="C2" s="152"/>
      <c r="D2" s="152"/>
      <c r="E2" s="152"/>
      <c r="F2" s="152"/>
      <c r="G2" s="152"/>
      <c r="H2" s="152"/>
      <c r="I2" s="87"/>
      <c r="J2" s="91" t="s">
        <v>396</v>
      </c>
      <c r="K2" s="91"/>
      <c r="L2" s="70">
        <v>16967.852443668453</v>
      </c>
      <c r="M2" s="95"/>
      <c r="N2" s="96"/>
      <c r="O2" s="84"/>
    </row>
    <row r="3" spans="1:15" ht="11.25">
      <c r="A3" s="83"/>
      <c r="B3" s="68" t="s">
        <v>2</v>
      </c>
      <c r="C3" s="68" t="s">
        <v>4</v>
      </c>
      <c r="D3" s="68" t="s">
        <v>9</v>
      </c>
      <c r="E3" s="68" t="s">
        <v>10</v>
      </c>
      <c r="F3" s="68" t="s">
        <v>11</v>
      </c>
      <c r="G3" s="68" t="s">
        <v>12</v>
      </c>
      <c r="H3" s="68" t="s">
        <v>384</v>
      </c>
      <c r="I3" s="86"/>
      <c r="J3" s="91" t="s">
        <v>399</v>
      </c>
      <c r="K3" s="91"/>
      <c r="L3" s="104">
        <v>0</v>
      </c>
      <c r="M3" s="82" t="s">
        <v>395</v>
      </c>
      <c r="N3" s="106">
        <v>0</v>
      </c>
      <c r="O3" s="83"/>
    </row>
    <row r="4" spans="1:15" ht="11.25">
      <c r="A4" s="83"/>
      <c r="B4" s="69" t="s">
        <v>334</v>
      </c>
      <c r="C4" s="70">
        <v>300</v>
      </c>
      <c r="D4" s="71">
        <v>28.5</v>
      </c>
      <c r="E4" s="71">
        <v>28</v>
      </c>
      <c r="F4" s="71">
        <f aca="true" t="shared" si="0" ref="F4:F9">$C4*$E4</f>
        <v>8400</v>
      </c>
      <c r="G4" s="72">
        <f>$F4/$F19</f>
        <v>0.026286437497609415</v>
      </c>
      <c r="H4" s="71">
        <f aca="true" t="shared" si="1" ref="H4:H9">$F4-($C4*$D4)</f>
        <v>-150</v>
      </c>
      <c r="I4" s="88"/>
      <c r="J4" s="91" t="s">
        <v>400</v>
      </c>
      <c r="K4" s="91"/>
      <c r="L4" s="104">
        <v>0</v>
      </c>
      <c r="M4" s="82" t="s">
        <v>395</v>
      </c>
      <c r="N4" s="131">
        <v>0</v>
      </c>
      <c r="O4" s="83"/>
    </row>
    <row r="5" spans="1:15" ht="11.25">
      <c r="A5" s="83"/>
      <c r="B5" s="69" t="s">
        <v>486</v>
      </c>
      <c r="C5" s="70">
        <v>400</v>
      </c>
      <c r="D5" s="71">
        <v>103.3</v>
      </c>
      <c r="E5" s="71">
        <v>102</v>
      </c>
      <c r="F5" s="71">
        <f t="shared" si="0"/>
        <v>40800</v>
      </c>
      <c r="G5" s="72">
        <f>$F5/$F19</f>
        <v>0.12767698213124573</v>
      </c>
      <c r="H5" s="71">
        <f t="shared" si="1"/>
        <v>-520</v>
      </c>
      <c r="I5" s="86"/>
      <c r="J5" s="101" t="s">
        <v>424</v>
      </c>
      <c r="K5" s="102"/>
      <c r="L5" s="105">
        <f>$L2-$L3+$L4</f>
        <v>16967.852443668453</v>
      </c>
      <c r="M5" s="83"/>
      <c r="N5" s="83"/>
      <c r="O5" s="83"/>
    </row>
    <row r="6" spans="1:15" ht="11.25">
      <c r="A6" s="83"/>
      <c r="B6" s="69" t="s">
        <v>320</v>
      </c>
      <c r="C6" s="70">
        <v>2000</v>
      </c>
      <c r="D6" s="71">
        <v>4.7</v>
      </c>
      <c r="E6" s="71">
        <v>4.26</v>
      </c>
      <c r="F6" s="71">
        <f t="shared" si="0"/>
        <v>8520</v>
      </c>
      <c r="G6" s="72">
        <f>$F6/$F19</f>
        <v>0.026661958033289548</v>
      </c>
      <c r="H6" s="71">
        <f t="shared" si="1"/>
        <v>-880</v>
      </c>
      <c r="I6" s="88"/>
      <c r="J6" s="153" t="s">
        <v>30</v>
      </c>
      <c r="K6" s="153"/>
      <c r="L6" s="107">
        <f>$F19/$L5</f>
        <v>18.833050696177803</v>
      </c>
      <c r="M6" s="83"/>
      <c r="N6" s="83"/>
      <c r="O6" s="83"/>
    </row>
    <row r="7" spans="1:15" ht="11.25">
      <c r="A7" s="83"/>
      <c r="B7" s="69" t="s">
        <v>28</v>
      </c>
      <c r="C7" s="70">
        <v>4000</v>
      </c>
      <c r="D7" s="71">
        <v>11.4</v>
      </c>
      <c r="E7" s="71">
        <v>10.7</v>
      </c>
      <c r="F7" s="71">
        <f t="shared" si="0"/>
        <v>42800</v>
      </c>
      <c r="G7" s="72">
        <f>$F7/$F19</f>
        <v>0.13393565772591465</v>
      </c>
      <c r="H7" s="71">
        <f t="shared" si="1"/>
        <v>-2800</v>
      </c>
      <c r="I7" s="86"/>
      <c r="J7" s="154" t="s">
        <v>385</v>
      </c>
      <c r="K7" s="154"/>
      <c r="L7" s="154"/>
      <c r="M7" s="83"/>
      <c r="N7" s="83"/>
      <c r="O7" s="83"/>
    </row>
    <row r="8" spans="1:15" ht="11.25">
      <c r="A8" s="83"/>
      <c r="B8" s="69" t="s">
        <v>497</v>
      </c>
      <c r="C8" s="70">
        <v>1000</v>
      </c>
      <c r="D8" s="71">
        <v>26.7</v>
      </c>
      <c r="E8" s="71">
        <v>26.5</v>
      </c>
      <c r="F8" s="71">
        <f t="shared" si="0"/>
        <v>26500</v>
      </c>
      <c r="G8" s="72">
        <f>$F8/$F19</f>
        <v>0.08292745162936303</v>
      </c>
      <c r="H8" s="71">
        <f t="shared" si="1"/>
        <v>-200</v>
      </c>
      <c r="I8" s="86"/>
      <c r="J8" s="92" t="s">
        <v>390</v>
      </c>
      <c r="K8" s="93"/>
      <c r="L8" s="136">
        <v>546.5050000000956</v>
      </c>
      <c r="M8" s="83"/>
      <c r="N8" s="83"/>
      <c r="O8" s="83"/>
    </row>
    <row r="9" spans="1:15" ht="11.25">
      <c r="A9" s="83"/>
      <c r="B9" s="69" t="s">
        <v>328</v>
      </c>
      <c r="C9" s="70">
        <v>1000</v>
      </c>
      <c r="D9" s="71">
        <v>43.75</v>
      </c>
      <c r="E9" s="71">
        <v>43</v>
      </c>
      <c r="F9" s="71">
        <f t="shared" si="0"/>
        <v>43000</v>
      </c>
      <c r="G9" s="72">
        <f>$F9/$F19</f>
        <v>0.13456152528538154</v>
      </c>
      <c r="H9" s="71">
        <f t="shared" si="1"/>
        <v>-750</v>
      </c>
      <c r="I9" s="88"/>
      <c r="J9" s="148" t="s">
        <v>388</v>
      </c>
      <c r="K9" s="148"/>
      <c r="L9" s="103">
        <v>0</v>
      </c>
      <c r="M9" s="83"/>
      <c r="N9" s="83"/>
      <c r="O9" s="83"/>
    </row>
    <row r="10" spans="1:15" ht="11.25">
      <c r="A10" s="83"/>
      <c r="B10" s="69"/>
      <c r="C10" s="70"/>
      <c r="D10" s="71"/>
      <c r="E10" s="71"/>
      <c r="F10" s="71"/>
      <c r="G10" s="72"/>
      <c r="H10" s="71"/>
      <c r="I10" s="86"/>
      <c r="J10" s="148" t="s">
        <v>389</v>
      </c>
      <c r="K10" s="148"/>
      <c r="L10" s="103">
        <v>0</v>
      </c>
      <c r="M10" s="83"/>
      <c r="N10" s="83"/>
      <c r="O10" s="83"/>
    </row>
    <row r="11" spans="1:15" ht="11.25">
      <c r="A11" s="83"/>
      <c r="B11" s="69"/>
      <c r="C11" s="70"/>
      <c r="D11" s="71"/>
      <c r="E11" s="71"/>
      <c r="F11" s="71"/>
      <c r="G11" s="72"/>
      <c r="H11" s="71"/>
      <c r="I11" s="88"/>
      <c r="J11" s="147" t="s">
        <v>397</v>
      </c>
      <c r="K11" s="147"/>
      <c r="L11" s="110">
        <f>$L3*$N3</f>
        <v>0</v>
      </c>
      <c r="M11" s="83"/>
      <c r="N11" s="81"/>
      <c r="O11" s="83"/>
    </row>
    <row r="12" spans="1:15" ht="11.25">
      <c r="A12" s="83"/>
      <c r="B12" s="150" t="s">
        <v>31</v>
      </c>
      <c r="C12" s="150"/>
      <c r="D12" s="150"/>
      <c r="E12" s="73"/>
      <c r="F12" s="73">
        <f>SUM($F4:$F11)</f>
        <v>170020</v>
      </c>
      <c r="G12" s="74">
        <f>SUM($G4:$G11)</f>
        <v>0.5320500123028039</v>
      </c>
      <c r="H12" s="71">
        <f>SUM(H4:H11)</f>
        <v>-5300</v>
      </c>
      <c r="I12" s="86"/>
      <c r="J12" s="148" t="s">
        <v>393</v>
      </c>
      <c r="K12" s="148"/>
      <c r="L12" s="103">
        <v>0</v>
      </c>
      <c r="M12" s="94"/>
      <c r="N12" s="83"/>
      <c r="O12" s="83"/>
    </row>
    <row r="13" spans="1:15" ht="11.25">
      <c r="A13" s="83"/>
      <c r="B13" s="143" t="s">
        <v>386</v>
      </c>
      <c r="C13" s="143"/>
      <c r="D13" s="71"/>
      <c r="E13" s="71"/>
      <c r="F13" s="71">
        <v>226642.13779024742</v>
      </c>
      <c r="G13" s="85"/>
      <c r="H13" s="85"/>
      <c r="I13" s="86"/>
      <c r="J13" s="147" t="s">
        <v>398</v>
      </c>
      <c r="K13" s="147"/>
      <c r="L13" s="110"/>
      <c r="M13" s="83"/>
      <c r="N13" s="118"/>
      <c r="O13" s="83"/>
    </row>
    <row r="14" spans="1:15" ht="11.25">
      <c r="A14" s="83"/>
      <c r="B14" s="75" t="s">
        <v>14</v>
      </c>
      <c r="C14" s="75"/>
      <c r="D14" s="71"/>
      <c r="E14" s="71"/>
      <c r="F14" s="71">
        <v>-77105.71251337501</v>
      </c>
      <c r="G14" s="85"/>
      <c r="H14" s="85"/>
      <c r="I14" s="86"/>
      <c r="J14" s="148" t="s">
        <v>392</v>
      </c>
      <c r="K14" s="148"/>
      <c r="L14" s="103">
        <v>0</v>
      </c>
      <c r="M14" s="83"/>
      <c r="N14" s="83"/>
      <c r="O14" s="83"/>
    </row>
    <row r="15" spans="1:15" ht="11.25">
      <c r="A15" s="83"/>
      <c r="B15" s="143" t="s">
        <v>34</v>
      </c>
      <c r="C15" s="143"/>
      <c r="D15" s="71"/>
      <c r="E15" s="71"/>
      <c r="F15" s="71">
        <v>0</v>
      </c>
      <c r="G15" s="85"/>
      <c r="H15" s="85">
        <f>SUM(F15:G15)</f>
        <v>0</v>
      </c>
      <c r="I15" s="86"/>
      <c r="J15" s="149" t="s">
        <v>391</v>
      </c>
      <c r="K15" s="149"/>
      <c r="L15" s="109">
        <f>SUM(L8:L10,L12,L14)</f>
        <v>546.5050000000956</v>
      </c>
      <c r="M15" s="83"/>
      <c r="N15" s="83"/>
      <c r="O15" s="83"/>
    </row>
    <row r="16" spans="1:15" ht="11.25">
      <c r="A16" s="83"/>
      <c r="B16" s="75" t="s">
        <v>151</v>
      </c>
      <c r="C16" s="75"/>
      <c r="D16" s="71"/>
      <c r="E16" s="71"/>
      <c r="F16" s="71">
        <v>0</v>
      </c>
      <c r="G16" s="85"/>
      <c r="H16" s="85"/>
      <c r="I16" s="86"/>
      <c r="J16" s="78" t="s">
        <v>324</v>
      </c>
      <c r="K16" s="78"/>
      <c r="L16" s="73">
        <v>263194.0877902474</v>
      </c>
      <c r="M16" s="83"/>
      <c r="N16" s="83"/>
      <c r="O16" s="83"/>
    </row>
    <row r="17" spans="1:15" ht="11.25">
      <c r="A17" s="83"/>
      <c r="B17" s="143" t="s">
        <v>133</v>
      </c>
      <c r="C17" s="143"/>
      <c r="D17" s="71"/>
      <c r="E17" s="71"/>
      <c r="F17" s="71">
        <v>0</v>
      </c>
      <c r="G17" s="85"/>
      <c r="H17" s="85"/>
      <c r="I17" s="86"/>
      <c r="J17" s="132" t="s">
        <v>181</v>
      </c>
      <c r="K17" s="132"/>
      <c r="L17" s="133">
        <f>SUM($L15:$L16)</f>
        <v>263740.5927902475</v>
      </c>
      <c r="M17" s="83"/>
      <c r="N17" s="83"/>
      <c r="O17" s="83"/>
    </row>
    <row r="18" spans="1:15" ht="13.5">
      <c r="A18" s="83"/>
      <c r="B18" s="144" t="s">
        <v>387</v>
      </c>
      <c r="C18" s="144"/>
      <c r="D18" s="144"/>
      <c r="E18" s="76"/>
      <c r="F18" s="73">
        <f>SUM($F13:$F17)</f>
        <v>149536.4252768724</v>
      </c>
      <c r="G18" s="74">
        <f>$F18/$F19</f>
        <v>0.4679499876971961</v>
      </c>
      <c r="H18" s="80">
        <f>H1+3</f>
        <v>38001</v>
      </c>
      <c r="I18" s="86"/>
      <c r="J18" s="145" t="s">
        <v>180</v>
      </c>
      <c r="K18" s="145"/>
      <c r="L18" s="108">
        <f>$F19+$L15+$L11+$L13</f>
        <v>320102.93027687253</v>
      </c>
      <c r="M18" s="83"/>
      <c r="N18" s="83"/>
      <c r="O18" s="83"/>
    </row>
    <row r="19" spans="1:15" ht="13.5">
      <c r="A19" s="83"/>
      <c r="B19" s="146" t="s">
        <v>18</v>
      </c>
      <c r="C19" s="146"/>
      <c r="D19" s="146"/>
      <c r="E19" s="77"/>
      <c r="F19" s="97">
        <f>SUM($F12,$F18)</f>
        <v>319556.4252768724</v>
      </c>
      <c r="G19" s="79">
        <f>SUM($G12,$G18)</f>
        <v>1</v>
      </c>
      <c r="H19" s="89"/>
      <c r="I19" s="86"/>
      <c r="J19" s="83"/>
      <c r="K19" s="83"/>
      <c r="L19" s="83"/>
      <c r="M19" s="83"/>
      <c r="N19" s="83"/>
      <c r="O19" s="83"/>
    </row>
    <row r="20" spans="1:15" ht="11.25">
      <c r="A20" s="83"/>
      <c r="B20" s="83"/>
      <c r="C20" s="83"/>
      <c r="D20" s="83"/>
      <c r="E20" s="83"/>
      <c r="F20" s="83"/>
      <c r="G20" s="89"/>
      <c r="H20" s="90"/>
      <c r="I20" s="86"/>
      <c r="J20" s="83"/>
      <c r="K20" s="83"/>
      <c r="L20" s="83"/>
      <c r="M20" s="83"/>
      <c r="N20" s="83"/>
      <c r="O20" s="83"/>
    </row>
    <row r="21" spans="1:15" ht="15.75">
      <c r="A21" s="83"/>
      <c r="B21" s="98"/>
      <c r="C21" s="98"/>
      <c r="D21" s="98"/>
      <c r="E21" s="99"/>
      <c r="F21" s="86"/>
      <c r="G21" s="100" t="s">
        <v>402</v>
      </c>
      <c r="H21" s="151">
        <v>37999</v>
      </c>
      <c r="I21" s="151"/>
      <c r="J21" s="151"/>
      <c r="K21" s="83"/>
      <c r="L21" s="83"/>
      <c r="M21" s="83"/>
      <c r="N21" s="83"/>
      <c r="O21" s="83"/>
    </row>
    <row r="22" spans="1:15" ht="11.25">
      <c r="A22" s="84"/>
      <c r="B22" s="152" t="s">
        <v>394</v>
      </c>
      <c r="C22" s="152"/>
      <c r="D22" s="152"/>
      <c r="E22" s="152"/>
      <c r="F22" s="152"/>
      <c r="G22" s="152"/>
      <c r="H22" s="152"/>
      <c r="I22" s="87"/>
      <c r="J22" s="91" t="s">
        <v>396</v>
      </c>
      <c r="K22" s="91"/>
      <c r="L22" s="70">
        <v>16967.852443668453</v>
      </c>
      <c r="M22" s="95"/>
      <c r="N22" s="96"/>
      <c r="O22" s="84"/>
    </row>
    <row r="23" spans="1:15" ht="11.25">
      <c r="A23" s="83"/>
      <c r="B23" s="68" t="s">
        <v>2</v>
      </c>
      <c r="C23" s="68" t="s">
        <v>4</v>
      </c>
      <c r="D23" s="68" t="s">
        <v>9</v>
      </c>
      <c r="E23" s="68" t="s">
        <v>10</v>
      </c>
      <c r="F23" s="68" t="s">
        <v>11</v>
      </c>
      <c r="G23" s="68" t="s">
        <v>12</v>
      </c>
      <c r="H23" s="68" t="s">
        <v>384</v>
      </c>
      <c r="I23" s="86"/>
      <c r="J23" s="91" t="s">
        <v>399</v>
      </c>
      <c r="K23" s="91"/>
      <c r="L23" s="104">
        <v>0</v>
      </c>
      <c r="M23" s="82" t="s">
        <v>395</v>
      </c>
      <c r="N23" s="106">
        <v>0</v>
      </c>
      <c r="O23" s="83"/>
    </row>
    <row r="24" spans="1:15" ht="11.25">
      <c r="A24" s="83"/>
      <c r="B24" s="69" t="s">
        <v>334</v>
      </c>
      <c r="C24" s="70">
        <v>300</v>
      </c>
      <c r="D24" s="71">
        <v>28.5</v>
      </c>
      <c r="E24" s="71">
        <v>28</v>
      </c>
      <c r="F24" s="71">
        <f aca="true" t="shared" si="2" ref="F24:F30">$C24*$E24</f>
        <v>8400</v>
      </c>
      <c r="G24" s="72">
        <f>$F24/$F39</f>
        <v>0.026426483881860578</v>
      </c>
      <c r="H24" s="71">
        <f aca="true" t="shared" si="3" ref="H24:H30">$F24-($C24*$D24)</f>
        <v>-150</v>
      </c>
      <c r="I24" s="88"/>
      <c r="J24" s="91" t="s">
        <v>400</v>
      </c>
      <c r="K24" s="91"/>
      <c r="L24" s="104">
        <v>0</v>
      </c>
      <c r="M24" s="82" t="s">
        <v>395</v>
      </c>
      <c r="N24" s="131">
        <v>0</v>
      </c>
      <c r="O24" s="83"/>
    </row>
    <row r="25" spans="1:15" ht="11.25">
      <c r="A25" s="83"/>
      <c r="B25" s="69" t="s">
        <v>486</v>
      </c>
      <c r="C25" s="70">
        <v>400</v>
      </c>
      <c r="D25" s="71">
        <v>103.3</v>
      </c>
      <c r="E25" s="71">
        <v>102</v>
      </c>
      <c r="F25" s="71">
        <f t="shared" si="2"/>
        <v>40800</v>
      </c>
      <c r="G25" s="72">
        <f>$F25/$F39</f>
        <v>0.12835720742617995</v>
      </c>
      <c r="H25" s="71">
        <f t="shared" si="3"/>
        <v>-520</v>
      </c>
      <c r="I25" s="86"/>
      <c r="J25" s="101" t="s">
        <v>424</v>
      </c>
      <c r="K25" s="102"/>
      <c r="L25" s="105">
        <f>$L22-$L23+$L24</f>
        <v>16967.852443668453</v>
      </c>
      <c r="M25" s="83"/>
      <c r="N25" s="83"/>
      <c r="O25" s="83"/>
    </row>
    <row r="26" spans="1:15" ht="11.25">
      <c r="A26" s="83"/>
      <c r="B26" s="69" t="s">
        <v>320</v>
      </c>
      <c r="C26" s="70">
        <v>2000</v>
      </c>
      <c r="D26" s="71">
        <v>4.7</v>
      </c>
      <c r="E26" s="71">
        <v>4.26</v>
      </c>
      <c r="F26" s="71">
        <f t="shared" si="2"/>
        <v>8520</v>
      </c>
      <c r="G26" s="72">
        <f>$F26/$F39</f>
        <v>0.02680400508017287</v>
      </c>
      <c r="H26" s="71">
        <f t="shared" si="3"/>
        <v>-880</v>
      </c>
      <c r="I26" s="88"/>
      <c r="J26" s="153" t="s">
        <v>30</v>
      </c>
      <c r="K26" s="153"/>
      <c r="L26" s="107">
        <f>$F39/$L25</f>
        <v>18.73324549067981</v>
      </c>
      <c r="M26" s="83"/>
      <c r="N26" s="83"/>
      <c r="O26" s="83"/>
    </row>
    <row r="27" spans="1:15" ht="11.25">
      <c r="A27" s="83"/>
      <c r="B27" s="69" t="s">
        <v>28</v>
      </c>
      <c r="C27" s="70">
        <v>4000</v>
      </c>
      <c r="D27" s="71">
        <v>11.4</v>
      </c>
      <c r="E27" s="71">
        <v>10.7</v>
      </c>
      <c r="F27" s="71">
        <f t="shared" si="2"/>
        <v>42800</v>
      </c>
      <c r="G27" s="72">
        <f>$F27/$F39</f>
        <v>0.13464922739805152</v>
      </c>
      <c r="H27" s="71">
        <f t="shared" si="3"/>
        <v>-2800</v>
      </c>
      <c r="I27" s="86"/>
      <c r="J27" s="154" t="s">
        <v>385</v>
      </c>
      <c r="K27" s="154"/>
      <c r="L27" s="154"/>
      <c r="M27" s="83"/>
      <c r="N27" s="83"/>
      <c r="O27" s="83"/>
    </row>
    <row r="28" spans="1:15" ht="11.25">
      <c r="A28" s="83"/>
      <c r="B28" s="69" t="s">
        <v>497</v>
      </c>
      <c r="C28" s="70">
        <v>1000</v>
      </c>
      <c r="D28" s="71">
        <v>26.7</v>
      </c>
      <c r="E28" s="71">
        <v>26.5</v>
      </c>
      <c r="F28" s="71">
        <f t="shared" si="2"/>
        <v>26500</v>
      </c>
      <c r="G28" s="72">
        <f>$F28/$F39</f>
        <v>0.08336926462729825</v>
      </c>
      <c r="H28" s="71">
        <f t="shared" si="3"/>
        <v>-200</v>
      </c>
      <c r="I28" s="86"/>
      <c r="J28" s="92" t="s">
        <v>390</v>
      </c>
      <c r="K28" s="93"/>
      <c r="L28" s="136">
        <v>546.5050000000956</v>
      </c>
      <c r="M28" s="83"/>
      <c r="N28" s="83"/>
      <c r="O28" s="83"/>
    </row>
    <row r="29" spans="1:15" ht="11.25">
      <c r="A29" s="83"/>
      <c r="B29" s="69" t="s">
        <v>328</v>
      </c>
      <c r="C29" s="70">
        <v>1000</v>
      </c>
      <c r="D29" s="71">
        <v>43.75</v>
      </c>
      <c r="E29" s="71">
        <v>43</v>
      </c>
      <c r="F29" s="71">
        <f t="shared" si="2"/>
        <v>43000</v>
      </c>
      <c r="G29" s="72">
        <f>$F29/$F39</f>
        <v>0.13527842939523868</v>
      </c>
      <c r="H29" s="71">
        <f t="shared" si="3"/>
        <v>-750</v>
      </c>
      <c r="I29" s="88"/>
      <c r="J29" s="148" t="s">
        <v>388</v>
      </c>
      <c r="K29" s="148"/>
      <c r="L29" s="103">
        <v>0</v>
      </c>
      <c r="M29" s="83"/>
      <c r="N29" s="83"/>
      <c r="O29" s="83"/>
    </row>
    <row r="30" spans="1:15" ht="11.25">
      <c r="A30" s="83"/>
      <c r="B30" s="69" t="s">
        <v>499</v>
      </c>
      <c r="C30" s="70">
        <v>300</v>
      </c>
      <c r="D30" s="71">
        <v>88</v>
      </c>
      <c r="E30" s="71">
        <v>87</v>
      </c>
      <c r="F30" s="71">
        <f t="shared" si="2"/>
        <v>26100</v>
      </c>
      <c r="G30" s="72">
        <f>$F30/$F39</f>
        <v>0.08211086063292394</v>
      </c>
      <c r="H30" s="71">
        <f t="shared" si="3"/>
        <v>-300</v>
      </c>
      <c r="I30" s="86"/>
      <c r="J30" s="148" t="s">
        <v>389</v>
      </c>
      <c r="K30" s="148"/>
      <c r="L30" s="103">
        <v>0</v>
      </c>
      <c r="M30" s="83"/>
      <c r="N30" s="83"/>
      <c r="O30" s="83"/>
    </row>
    <row r="31" spans="1:15" ht="11.25">
      <c r="A31" s="83"/>
      <c r="B31" s="69"/>
      <c r="C31" s="70"/>
      <c r="D31" s="71"/>
      <c r="E31" s="71"/>
      <c r="F31" s="71"/>
      <c r="G31" s="72"/>
      <c r="H31" s="71"/>
      <c r="I31" s="88"/>
      <c r="J31" s="147" t="s">
        <v>397</v>
      </c>
      <c r="K31" s="147"/>
      <c r="L31" s="110">
        <f>$L23*$N23</f>
        <v>0</v>
      </c>
      <c r="M31" s="83"/>
      <c r="N31" s="81"/>
      <c r="O31" s="83"/>
    </row>
    <row r="32" spans="1:15" ht="11.25">
      <c r="A32" s="83"/>
      <c r="B32" s="150" t="s">
        <v>31</v>
      </c>
      <c r="C32" s="150"/>
      <c r="D32" s="150"/>
      <c r="E32" s="73"/>
      <c r="F32" s="73">
        <f>SUM($F24:$F31)</f>
        <v>196120</v>
      </c>
      <c r="G32" s="74">
        <f>SUM($G24:$G31)</f>
        <v>0.6169954784417258</v>
      </c>
      <c r="H32" s="71">
        <f>SUM(H24:H31)</f>
        <v>-5600</v>
      </c>
      <c r="I32" s="86"/>
      <c r="J32" s="148" t="s">
        <v>393</v>
      </c>
      <c r="K32" s="148"/>
      <c r="L32" s="103">
        <v>0</v>
      </c>
      <c r="M32" s="94"/>
      <c r="N32" s="83"/>
      <c r="O32" s="83"/>
    </row>
    <row r="33" spans="1:15" ht="11.25">
      <c r="A33" s="83"/>
      <c r="B33" s="143" t="s">
        <v>386</v>
      </c>
      <c r="C33" s="143"/>
      <c r="D33" s="71"/>
      <c r="E33" s="71"/>
      <c r="F33" s="71">
        <v>149536.4252768724</v>
      </c>
      <c r="G33" s="85"/>
      <c r="H33" s="85"/>
      <c r="I33" s="86"/>
      <c r="J33" s="147" t="s">
        <v>398</v>
      </c>
      <c r="K33" s="147"/>
      <c r="L33" s="110"/>
      <c r="M33" s="83"/>
      <c r="N33" s="118"/>
      <c r="O33" s="83"/>
    </row>
    <row r="34" spans="1:15" ht="11.25">
      <c r="A34" s="83"/>
      <c r="B34" s="75" t="s">
        <v>14</v>
      </c>
      <c r="C34" s="75"/>
      <c r="D34" s="71"/>
      <c r="E34" s="71"/>
      <c r="F34" s="71">
        <v>-27793.48</v>
      </c>
      <c r="G34" s="85"/>
      <c r="H34" s="85"/>
      <c r="I34" s="86"/>
      <c r="J34" s="148" t="s">
        <v>392</v>
      </c>
      <c r="K34" s="148"/>
      <c r="L34" s="103">
        <v>0</v>
      </c>
      <c r="M34" s="83"/>
      <c r="N34" s="83"/>
      <c r="O34" s="83"/>
    </row>
    <row r="35" spans="1:15" ht="11.25">
      <c r="A35" s="83"/>
      <c r="B35" s="143" t="s">
        <v>34</v>
      </c>
      <c r="C35" s="143"/>
      <c r="D35" s="71"/>
      <c r="E35" s="71"/>
      <c r="F35" s="71">
        <v>0</v>
      </c>
      <c r="G35" s="85"/>
      <c r="H35" s="85">
        <f>SUM(F35:G35)</f>
        <v>0</v>
      </c>
      <c r="I35" s="86"/>
      <c r="J35" s="149" t="s">
        <v>391</v>
      </c>
      <c r="K35" s="149"/>
      <c r="L35" s="109">
        <f>SUM(L28:L30,L32,L34)</f>
        <v>546.5050000000956</v>
      </c>
      <c r="M35" s="83"/>
      <c r="N35" s="83"/>
      <c r="O35" s="83"/>
    </row>
    <row r="36" spans="1:15" ht="11.25">
      <c r="A36" s="83"/>
      <c r="B36" s="75" t="s">
        <v>151</v>
      </c>
      <c r="C36" s="75"/>
      <c r="D36" s="71"/>
      <c r="E36" s="71"/>
      <c r="F36" s="71">
        <v>0</v>
      </c>
      <c r="G36" s="85"/>
      <c r="H36" s="85"/>
      <c r="I36" s="86"/>
      <c r="J36" s="78" t="s">
        <v>324</v>
      </c>
      <c r="K36" s="78"/>
      <c r="L36" s="73">
        <v>247198.25779024741</v>
      </c>
      <c r="M36" s="83"/>
      <c r="N36" s="83"/>
      <c r="O36" s="83"/>
    </row>
    <row r="37" spans="1:15" ht="11.25">
      <c r="A37" s="83"/>
      <c r="B37" s="143" t="s">
        <v>133</v>
      </c>
      <c r="C37" s="143"/>
      <c r="D37" s="71"/>
      <c r="E37" s="71"/>
      <c r="F37" s="71">
        <v>0</v>
      </c>
      <c r="G37" s="85"/>
      <c r="H37" s="85"/>
      <c r="I37" s="86"/>
      <c r="J37" s="132" t="s">
        <v>181</v>
      </c>
      <c r="K37" s="132"/>
      <c r="L37" s="133">
        <f>SUM($L35:$L36)</f>
        <v>247744.7627902475</v>
      </c>
      <c r="M37" s="83"/>
      <c r="N37" s="83"/>
      <c r="O37" s="83"/>
    </row>
    <row r="38" spans="1:15" ht="13.5">
      <c r="A38" s="83"/>
      <c r="B38" s="144" t="s">
        <v>387</v>
      </c>
      <c r="C38" s="144"/>
      <c r="D38" s="144"/>
      <c r="E38" s="76"/>
      <c r="F38" s="73">
        <f>SUM($F33:$F37)</f>
        <v>121742.94527687241</v>
      </c>
      <c r="G38" s="74">
        <f>$F38/$F39</f>
        <v>0.3830045215582742</v>
      </c>
      <c r="H38" s="80">
        <f>H21+3</f>
        <v>38002</v>
      </c>
      <c r="I38" s="86"/>
      <c r="J38" s="145" t="s">
        <v>180</v>
      </c>
      <c r="K38" s="145"/>
      <c r="L38" s="108">
        <f>$F39+$L35+$L31+$L33</f>
        <v>318409.45027687255</v>
      </c>
      <c r="M38" s="83"/>
      <c r="N38" s="83"/>
      <c r="O38" s="83"/>
    </row>
    <row r="39" spans="1:15" ht="13.5">
      <c r="A39" s="83"/>
      <c r="B39" s="146" t="s">
        <v>18</v>
      </c>
      <c r="C39" s="146"/>
      <c r="D39" s="146"/>
      <c r="E39" s="77"/>
      <c r="F39" s="97">
        <f>SUM($F32,$F38)</f>
        <v>317862.94527687243</v>
      </c>
      <c r="G39" s="79">
        <f>SUM($G32,$G38)</f>
        <v>1</v>
      </c>
      <c r="H39" s="89"/>
      <c r="I39" s="86"/>
      <c r="J39" s="83"/>
      <c r="K39" s="83"/>
      <c r="L39" s="83"/>
      <c r="M39" s="83"/>
      <c r="N39" s="83"/>
      <c r="O39" s="83"/>
    </row>
    <row r="40" spans="1:15" ht="11.25">
      <c r="A40" s="83"/>
      <c r="B40" s="83"/>
      <c r="C40" s="83"/>
      <c r="D40" s="83"/>
      <c r="E40" s="83"/>
      <c r="F40" s="83"/>
      <c r="G40" s="89"/>
      <c r="H40" s="90"/>
      <c r="I40" s="86"/>
      <c r="J40" s="83"/>
      <c r="K40" s="83"/>
      <c r="L40" s="83"/>
      <c r="M40" s="83"/>
      <c r="N40" s="83"/>
      <c r="O40" s="83"/>
    </row>
    <row r="41" spans="1:15" ht="15.75">
      <c r="A41" s="83"/>
      <c r="B41" s="98"/>
      <c r="C41" s="98"/>
      <c r="D41" s="98"/>
      <c r="E41" s="99"/>
      <c r="F41" s="86"/>
      <c r="G41" s="100" t="s">
        <v>377</v>
      </c>
      <c r="H41" s="151">
        <v>38000</v>
      </c>
      <c r="I41" s="151"/>
      <c r="J41" s="151"/>
      <c r="K41" s="83"/>
      <c r="L41" s="83"/>
      <c r="M41" s="83"/>
      <c r="N41" s="83"/>
      <c r="O41" s="83"/>
    </row>
    <row r="42" spans="1:15" ht="11.25">
      <c r="A42" s="84"/>
      <c r="B42" s="152" t="s">
        <v>394</v>
      </c>
      <c r="C42" s="152"/>
      <c r="D42" s="152"/>
      <c r="E42" s="152"/>
      <c r="F42" s="152"/>
      <c r="G42" s="152"/>
      <c r="H42" s="152"/>
      <c r="I42" s="87"/>
      <c r="J42" s="91" t="s">
        <v>396</v>
      </c>
      <c r="K42" s="91"/>
      <c r="L42" s="70">
        <v>16967.852443668453</v>
      </c>
      <c r="M42" s="95"/>
      <c r="N42" s="96"/>
      <c r="O42" s="84"/>
    </row>
    <row r="43" spans="1:15" ht="11.25">
      <c r="A43" s="83"/>
      <c r="B43" s="68" t="s">
        <v>2</v>
      </c>
      <c r="C43" s="68" t="s">
        <v>4</v>
      </c>
      <c r="D43" s="68" t="s">
        <v>9</v>
      </c>
      <c r="E43" s="68" t="s">
        <v>10</v>
      </c>
      <c r="F43" s="68" t="s">
        <v>11</v>
      </c>
      <c r="G43" s="68" t="s">
        <v>12</v>
      </c>
      <c r="H43" s="68" t="s">
        <v>384</v>
      </c>
      <c r="I43" s="86"/>
      <c r="J43" s="91" t="s">
        <v>399</v>
      </c>
      <c r="K43" s="91"/>
      <c r="L43" s="104">
        <v>0</v>
      </c>
      <c r="M43" s="82" t="s">
        <v>395</v>
      </c>
      <c r="N43" s="106">
        <v>0</v>
      </c>
      <c r="O43" s="83"/>
    </row>
    <row r="44" spans="1:15" ht="11.25">
      <c r="A44" s="83"/>
      <c r="B44" s="69" t="s">
        <v>334</v>
      </c>
      <c r="C44" s="70">
        <v>300</v>
      </c>
      <c r="D44" s="71">
        <v>28.5</v>
      </c>
      <c r="E44" s="71">
        <v>28</v>
      </c>
      <c r="F44" s="71">
        <f aca="true" t="shared" si="4" ref="F44:F52">$C44*$E44</f>
        <v>8400</v>
      </c>
      <c r="G44" s="72">
        <f>$F44/$F60</f>
        <v>0.02609198848513907</v>
      </c>
      <c r="H44" s="71">
        <f aca="true" t="shared" si="5" ref="H44:H52">$F44-($C44*$D44)</f>
        <v>-150</v>
      </c>
      <c r="I44" s="88"/>
      <c r="J44" s="91" t="s">
        <v>400</v>
      </c>
      <c r="K44" s="91"/>
      <c r="L44" s="104">
        <v>0</v>
      </c>
      <c r="M44" s="82" t="s">
        <v>395</v>
      </c>
      <c r="N44" s="131">
        <v>0</v>
      </c>
      <c r="O44" s="83"/>
    </row>
    <row r="45" spans="1:15" ht="11.25">
      <c r="A45" s="83"/>
      <c r="B45" s="69" t="s">
        <v>486</v>
      </c>
      <c r="C45" s="70">
        <v>400</v>
      </c>
      <c r="D45" s="71">
        <v>103.3</v>
      </c>
      <c r="E45" s="71">
        <v>104</v>
      </c>
      <c r="F45" s="71">
        <f t="shared" si="4"/>
        <v>41600</v>
      </c>
      <c r="G45" s="72">
        <f>$F45/$F60</f>
        <v>0.12921746678354587</v>
      </c>
      <c r="H45" s="71">
        <f t="shared" si="5"/>
        <v>280</v>
      </c>
      <c r="I45" s="86"/>
      <c r="J45" s="101" t="s">
        <v>424</v>
      </c>
      <c r="K45" s="102"/>
      <c r="L45" s="105">
        <f>$L42-$L43+$L44</f>
        <v>16967.852443668453</v>
      </c>
      <c r="M45" s="83"/>
      <c r="N45" s="83"/>
      <c r="O45" s="83"/>
    </row>
    <row r="46" spans="1:15" ht="11.25">
      <c r="A46" s="83"/>
      <c r="B46" s="69" t="s">
        <v>320</v>
      </c>
      <c r="C46" s="70">
        <v>2000</v>
      </c>
      <c r="D46" s="71">
        <v>4.7</v>
      </c>
      <c r="E46" s="71">
        <v>4.28</v>
      </c>
      <c r="F46" s="71">
        <f t="shared" si="4"/>
        <v>8560</v>
      </c>
      <c r="G46" s="72">
        <f>$F46/$F60</f>
        <v>0.026588978741998864</v>
      </c>
      <c r="H46" s="71">
        <f t="shared" si="5"/>
        <v>-840</v>
      </c>
      <c r="I46" s="88"/>
      <c r="J46" s="153" t="s">
        <v>30</v>
      </c>
      <c r="K46" s="153"/>
      <c r="L46" s="107">
        <f>$F60/$L45</f>
        <v>18.973402900907676</v>
      </c>
      <c r="M46" s="83"/>
      <c r="N46" s="83"/>
      <c r="O46" s="83"/>
    </row>
    <row r="47" spans="1:15" ht="11.25">
      <c r="A47" s="83"/>
      <c r="B47" s="69" t="s">
        <v>28</v>
      </c>
      <c r="C47" s="70">
        <v>4000</v>
      </c>
      <c r="D47" s="71">
        <v>12.1</v>
      </c>
      <c r="E47" s="71">
        <v>11.9</v>
      </c>
      <c r="F47" s="71">
        <f t="shared" si="4"/>
        <v>47600</v>
      </c>
      <c r="G47" s="72">
        <f>$F47/$F60</f>
        <v>0.14785460141578807</v>
      </c>
      <c r="H47" s="71">
        <f t="shared" si="5"/>
        <v>-800</v>
      </c>
      <c r="I47" s="86"/>
      <c r="J47" s="154" t="s">
        <v>385</v>
      </c>
      <c r="K47" s="154"/>
      <c r="L47" s="154"/>
      <c r="M47" s="83"/>
      <c r="N47" s="83"/>
      <c r="O47" s="83"/>
    </row>
    <row r="48" spans="1:15" ht="11.25">
      <c r="A48" s="83"/>
      <c r="B48" s="69" t="s">
        <v>497</v>
      </c>
      <c r="C48" s="70">
        <v>1000</v>
      </c>
      <c r="D48" s="71">
        <v>26.7</v>
      </c>
      <c r="E48" s="71">
        <v>26.25</v>
      </c>
      <c r="F48" s="71">
        <f t="shared" si="4"/>
        <v>26250</v>
      </c>
      <c r="G48" s="72">
        <f>$F48/$F60</f>
        <v>0.0815374640160596</v>
      </c>
      <c r="H48" s="71">
        <f t="shared" si="5"/>
        <v>-450</v>
      </c>
      <c r="I48" s="86"/>
      <c r="J48" s="92" t="s">
        <v>390</v>
      </c>
      <c r="K48" s="93"/>
      <c r="L48" s="136">
        <v>546.5050000000956</v>
      </c>
      <c r="M48" s="83"/>
      <c r="N48" s="83"/>
      <c r="O48" s="83"/>
    </row>
    <row r="49" spans="1:15" ht="11.25">
      <c r="A49" s="83"/>
      <c r="B49" s="69" t="s">
        <v>328</v>
      </c>
      <c r="C49" s="70">
        <v>1000</v>
      </c>
      <c r="D49" s="71">
        <v>43.75</v>
      </c>
      <c r="E49" s="71">
        <v>42</v>
      </c>
      <c r="F49" s="71">
        <f t="shared" si="4"/>
        <v>42000</v>
      </c>
      <c r="G49" s="72">
        <f>$F49/$F60</f>
        <v>0.13045994242569536</v>
      </c>
      <c r="H49" s="71">
        <f t="shared" si="5"/>
        <v>-1750</v>
      </c>
      <c r="I49" s="88"/>
      <c r="J49" s="148" t="s">
        <v>388</v>
      </c>
      <c r="K49" s="148"/>
      <c r="L49" s="103">
        <v>0</v>
      </c>
      <c r="M49" s="83"/>
      <c r="N49" s="83"/>
      <c r="O49" s="83"/>
    </row>
    <row r="50" spans="1:15" ht="11.25">
      <c r="A50" s="83"/>
      <c r="B50" s="69" t="s">
        <v>490</v>
      </c>
      <c r="C50" s="70">
        <v>6700</v>
      </c>
      <c r="D50" s="71">
        <v>4.22</v>
      </c>
      <c r="E50" s="71">
        <v>4.2</v>
      </c>
      <c r="F50" s="71">
        <f t="shared" si="4"/>
        <v>28140</v>
      </c>
      <c r="G50" s="72">
        <f>$F50/$F60</f>
        <v>0.08740816142521589</v>
      </c>
      <c r="H50" s="71">
        <f t="shared" si="5"/>
        <v>-134</v>
      </c>
      <c r="I50" s="86"/>
      <c r="J50" s="148" t="s">
        <v>389</v>
      </c>
      <c r="K50" s="148"/>
      <c r="L50" s="103">
        <v>0</v>
      </c>
      <c r="M50" s="83"/>
      <c r="N50" s="83"/>
      <c r="O50" s="83"/>
    </row>
    <row r="51" spans="1:15" ht="11.25">
      <c r="A51" s="83"/>
      <c r="B51" s="69" t="s">
        <v>499</v>
      </c>
      <c r="C51" s="70">
        <v>300</v>
      </c>
      <c r="D51" s="71">
        <v>88</v>
      </c>
      <c r="E51" s="71">
        <v>88</v>
      </c>
      <c r="F51" s="71">
        <f t="shared" si="4"/>
        <v>26400</v>
      </c>
      <c r="G51" s="72">
        <f>$F51/$F60</f>
        <v>0.08200339238186566</v>
      </c>
      <c r="H51" s="71">
        <f t="shared" si="5"/>
        <v>0</v>
      </c>
      <c r="I51" s="88"/>
      <c r="J51" s="147" t="s">
        <v>397</v>
      </c>
      <c r="K51" s="147"/>
      <c r="L51" s="110">
        <f>$L43*$N43</f>
        <v>0</v>
      </c>
      <c r="M51" s="83"/>
      <c r="N51" s="81"/>
      <c r="O51" s="83"/>
    </row>
    <row r="52" spans="1:15" ht="11.25">
      <c r="A52" s="83"/>
      <c r="B52" s="69" t="s">
        <v>500</v>
      </c>
      <c r="C52" s="70">
        <v>500</v>
      </c>
      <c r="D52" s="71">
        <v>136.5</v>
      </c>
      <c r="E52" s="71">
        <v>135</v>
      </c>
      <c r="F52" s="71">
        <f t="shared" si="4"/>
        <v>67500</v>
      </c>
      <c r="G52" s="72">
        <f>$F52/$F60</f>
        <v>0.20966776461272468</v>
      </c>
      <c r="H52" s="71">
        <f t="shared" si="5"/>
        <v>-750</v>
      </c>
      <c r="I52" s="86"/>
      <c r="J52" s="148" t="s">
        <v>393</v>
      </c>
      <c r="K52" s="148"/>
      <c r="L52" s="103">
        <v>0</v>
      </c>
      <c r="M52" s="94"/>
      <c r="N52" s="83"/>
      <c r="O52" s="83"/>
    </row>
    <row r="53" spans="1:15" ht="11.25">
      <c r="A53" s="83"/>
      <c r="B53" s="150" t="s">
        <v>31</v>
      </c>
      <c r="C53" s="150"/>
      <c r="D53" s="150"/>
      <c r="E53" s="73"/>
      <c r="F53" s="73">
        <f>SUM($F44:$F52)</f>
        <v>296450</v>
      </c>
      <c r="G53" s="74">
        <f>SUM($G44:$G52)</f>
        <v>0.9208297602880331</v>
      </c>
      <c r="H53" s="71">
        <f>SUM(H44:H52)</f>
        <v>-4594</v>
      </c>
      <c r="I53" s="86"/>
      <c r="J53" s="147" t="s">
        <v>398</v>
      </c>
      <c r="K53" s="147"/>
      <c r="L53" s="110"/>
      <c r="M53" s="83"/>
      <c r="N53" s="118"/>
      <c r="O53" s="83"/>
    </row>
    <row r="54" spans="1:15" ht="11.25">
      <c r="A54" s="83"/>
      <c r="B54" s="143" t="s">
        <v>386</v>
      </c>
      <c r="C54" s="143"/>
      <c r="D54" s="71"/>
      <c r="E54" s="71"/>
      <c r="F54" s="71">
        <v>121742.94527687241</v>
      </c>
      <c r="G54" s="85"/>
      <c r="H54" s="85"/>
      <c r="I54" s="86"/>
      <c r="J54" s="148" t="s">
        <v>392</v>
      </c>
      <c r="K54" s="148"/>
      <c r="L54" s="103">
        <v>0</v>
      </c>
      <c r="M54" s="83"/>
      <c r="N54" s="83"/>
      <c r="O54" s="83"/>
    </row>
    <row r="55" spans="1:15" ht="11.25">
      <c r="A55" s="83"/>
      <c r="B55" s="75" t="s">
        <v>14</v>
      </c>
      <c r="C55" s="75"/>
      <c r="D55" s="71"/>
      <c r="E55" s="71"/>
      <c r="F55" s="71">
        <v>-96255.04449999999</v>
      </c>
      <c r="G55" s="85"/>
      <c r="H55" s="85"/>
      <c r="I55" s="86"/>
      <c r="J55" s="149" t="s">
        <v>391</v>
      </c>
      <c r="K55" s="149"/>
      <c r="L55" s="109">
        <f>SUM(L48:L50,L52,L54)</f>
        <v>546.5050000000956</v>
      </c>
      <c r="M55" s="83"/>
      <c r="N55" s="83"/>
      <c r="O55" s="83"/>
    </row>
    <row r="56" spans="1:15" ht="11.25">
      <c r="A56" s="83"/>
      <c r="B56" s="143" t="s">
        <v>34</v>
      </c>
      <c r="C56" s="143"/>
      <c r="D56" s="71"/>
      <c r="E56" s="71"/>
      <c r="F56" s="71">
        <v>0</v>
      </c>
      <c r="G56" s="85"/>
      <c r="H56" s="85">
        <f>SUM(F56:G56)</f>
        <v>0</v>
      </c>
      <c r="I56" s="86"/>
      <c r="J56" s="78" t="s">
        <v>324</v>
      </c>
      <c r="K56" s="78"/>
      <c r="L56" s="73">
        <v>226642.13779024742</v>
      </c>
      <c r="M56" s="83"/>
      <c r="N56" s="83"/>
      <c r="O56" s="83"/>
    </row>
    <row r="57" spans="1:15" ht="11.25">
      <c r="A57" s="83"/>
      <c r="B57" s="75" t="s">
        <v>151</v>
      </c>
      <c r="C57" s="75"/>
      <c r="D57" s="71"/>
      <c r="E57" s="71"/>
      <c r="F57" s="71">
        <v>0</v>
      </c>
      <c r="G57" s="85"/>
      <c r="H57" s="85"/>
      <c r="I57" s="86"/>
      <c r="J57" s="132" t="s">
        <v>181</v>
      </c>
      <c r="K57" s="132"/>
      <c r="L57" s="133">
        <f>SUM($L55:$L56)</f>
        <v>227188.6427902475</v>
      </c>
      <c r="M57" s="83"/>
      <c r="N57" s="83"/>
      <c r="O57" s="83"/>
    </row>
    <row r="58" spans="1:15" ht="13.5">
      <c r="A58" s="83"/>
      <c r="B58" s="143" t="s">
        <v>133</v>
      </c>
      <c r="C58" s="143"/>
      <c r="D58" s="71"/>
      <c r="E58" s="71"/>
      <c r="F58" s="71">
        <v>0</v>
      </c>
      <c r="G58" s="85"/>
      <c r="H58" s="85"/>
      <c r="I58" s="86"/>
      <c r="J58" s="145" t="s">
        <v>180</v>
      </c>
      <c r="K58" s="145"/>
      <c r="L58" s="108">
        <f>$F60+$L55+$L51+$L53</f>
        <v>322484.40577687253</v>
      </c>
      <c r="M58" s="83"/>
      <c r="N58" s="83"/>
      <c r="O58" s="83"/>
    </row>
    <row r="59" spans="1:15" ht="11.25">
      <c r="A59" s="83"/>
      <c r="B59" s="144" t="s">
        <v>387</v>
      </c>
      <c r="C59" s="144"/>
      <c r="D59" s="144"/>
      <c r="E59" s="76"/>
      <c r="F59" s="73">
        <f>SUM($F54:$F58)</f>
        <v>25487.900776872426</v>
      </c>
      <c r="G59" s="74">
        <f>$F59/$F60</f>
        <v>0.07917023971196697</v>
      </c>
      <c r="H59" s="80">
        <f>H41+5</f>
        <v>38005</v>
      </c>
      <c r="I59" s="86"/>
      <c r="J59" s="83"/>
      <c r="K59" s="83"/>
      <c r="L59" s="83"/>
      <c r="M59" s="83"/>
      <c r="N59" s="83"/>
      <c r="O59" s="83"/>
    </row>
    <row r="60" spans="1:15" ht="13.5">
      <c r="A60" s="83"/>
      <c r="B60" s="146" t="s">
        <v>18</v>
      </c>
      <c r="C60" s="146"/>
      <c r="D60" s="146"/>
      <c r="E60" s="77"/>
      <c r="F60" s="97">
        <f>SUM($F53,$F59)</f>
        <v>321937.9007768724</v>
      </c>
      <c r="G60" s="79">
        <f>SUM($G53,$G59)</f>
        <v>1</v>
      </c>
      <c r="H60" s="89"/>
      <c r="I60" s="86"/>
      <c r="J60" s="83"/>
      <c r="K60" s="83"/>
      <c r="L60" s="83"/>
      <c r="M60" s="83"/>
      <c r="N60" s="83"/>
      <c r="O60" s="83"/>
    </row>
    <row r="61" spans="1:15" ht="11.25">
      <c r="A61" s="83"/>
      <c r="B61" s="83"/>
      <c r="C61" s="83"/>
      <c r="D61" s="83"/>
      <c r="E61" s="83"/>
      <c r="F61" s="83"/>
      <c r="G61" s="89"/>
      <c r="H61" s="90"/>
      <c r="I61" s="86"/>
      <c r="J61" s="83"/>
      <c r="K61" s="83"/>
      <c r="L61" s="83"/>
      <c r="M61" s="83"/>
      <c r="N61" s="83"/>
      <c r="O61" s="83"/>
    </row>
    <row r="62" spans="1:15" ht="15.75">
      <c r="A62" s="83"/>
      <c r="B62" s="98"/>
      <c r="C62" s="98"/>
      <c r="D62" s="98"/>
      <c r="E62" s="99"/>
      <c r="F62" s="86"/>
      <c r="G62" s="100" t="s">
        <v>379</v>
      </c>
      <c r="H62" s="151">
        <v>38001</v>
      </c>
      <c r="I62" s="151"/>
      <c r="J62" s="151"/>
      <c r="K62" s="83"/>
      <c r="L62" s="83"/>
      <c r="M62" s="83"/>
      <c r="N62" s="83"/>
      <c r="O62" s="83"/>
    </row>
    <row r="63" spans="1:15" ht="11.25">
      <c r="A63" s="84"/>
      <c r="B63" s="152" t="s">
        <v>394</v>
      </c>
      <c r="C63" s="152"/>
      <c r="D63" s="152"/>
      <c r="E63" s="152"/>
      <c r="F63" s="152"/>
      <c r="G63" s="152"/>
      <c r="H63" s="152"/>
      <c r="I63" s="87"/>
      <c r="J63" s="91" t="s">
        <v>396</v>
      </c>
      <c r="K63" s="91"/>
      <c r="L63" s="70">
        <v>16967.852443668453</v>
      </c>
      <c r="M63" s="95"/>
      <c r="N63" s="96"/>
      <c r="O63" s="84"/>
    </row>
    <row r="64" spans="1:15" ht="11.25">
      <c r="A64" s="83"/>
      <c r="B64" s="68" t="s">
        <v>2</v>
      </c>
      <c r="C64" s="68" t="s">
        <v>4</v>
      </c>
      <c r="D64" s="68" t="s">
        <v>9</v>
      </c>
      <c r="E64" s="68" t="s">
        <v>10</v>
      </c>
      <c r="F64" s="68" t="s">
        <v>11</v>
      </c>
      <c r="G64" s="68" t="s">
        <v>12</v>
      </c>
      <c r="H64" s="68" t="s">
        <v>384</v>
      </c>
      <c r="I64" s="86"/>
      <c r="J64" s="91" t="s">
        <v>399</v>
      </c>
      <c r="K64" s="91"/>
      <c r="L64" s="104">
        <v>0</v>
      </c>
      <c r="M64" s="82" t="s">
        <v>395</v>
      </c>
      <c r="N64" s="106">
        <v>0</v>
      </c>
      <c r="O64" s="83"/>
    </row>
    <row r="65" spans="1:15" ht="11.25">
      <c r="A65" s="83"/>
      <c r="B65" s="69" t="s">
        <v>334</v>
      </c>
      <c r="C65" s="70">
        <v>300</v>
      </c>
      <c r="D65" s="71">
        <v>28.5</v>
      </c>
      <c r="E65" s="71">
        <v>27.75</v>
      </c>
      <c r="F65" s="71">
        <f aca="true" t="shared" si="6" ref="F65:F70">$C65*$E65</f>
        <v>8325</v>
      </c>
      <c r="G65" s="72">
        <f>$F65/$F79</f>
        <v>0.026299261858912005</v>
      </c>
      <c r="H65" s="71">
        <f aca="true" t="shared" si="7" ref="H65:H70">$F65-($C65*$D65)</f>
        <v>-225</v>
      </c>
      <c r="I65" s="88"/>
      <c r="J65" s="91" t="s">
        <v>400</v>
      </c>
      <c r="K65" s="91"/>
      <c r="L65" s="104">
        <v>0</v>
      </c>
      <c r="M65" s="82" t="s">
        <v>395</v>
      </c>
      <c r="N65" s="131">
        <v>0</v>
      </c>
      <c r="O65" s="83"/>
    </row>
    <row r="66" spans="1:15" ht="11.25">
      <c r="A66" s="83"/>
      <c r="B66" s="69" t="s">
        <v>486</v>
      </c>
      <c r="C66" s="70">
        <v>400</v>
      </c>
      <c r="D66" s="71">
        <v>103.3</v>
      </c>
      <c r="E66" s="71">
        <v>104</v>
      </c>
      <c r="F66" s="71">
        <f t="shared" si="6"/>
        <v>41600</v>
      </c>
      <c r="G66" s="72">
        <f>$F66/$F79</f>
        <v>0.13141733253222096</v>
      </c>
      <c r="H66" s="71">
        <f t="shared" si="7"/>
        <v>280</v>
      </c>
      <c r="I66" s="86"/>
      <c r="J66" s="101" t="s">
        <v>424</v>
      </c>
      <c r="K66" s="102"/>
      <c r="L66" s="105">
        <f>$L63-$L64+$L65</f>
        <v>16967.852443668453</v>
      </c>
      <c r="M66" s="83"/>
      <c r="N66" s="83"/>
      <c r="O66" s="83"/>
    </row>
    <row r="67" spans="1:15" ht="11.25">
      <c r="A67" s="83"/>
      <c r="B67" s="69" t="s">
        <v>320</v>
      </c>
      <c r="C67" s="70">
        <v>2000</v>
      </c>
      <c r="D67" s="71">
        <v>4.7</v>
      </c>
      <c r="E67" s="71">
        <v>4.12</v>
      </c>
      <c r="F67" s="71">
        <f t="shared" si="6"/>
        <v>8240</v>
      </c>
      <c r="G67" s="72">
        <f>$F67/$F79</f>
        <v>0.02603074086695915</v>
      </c>
      <c r="H67" s="71">
        <f t="shared" si="7"/>
        <v>-1160</v>
      </c>
      <c r="I67" s="88"/>
      <c r="J67" s="153" t="s">
        <v>30</v>
      </c>
      <c r="K67" s="153"/>
      <c r="L67" s="107">
        <f>$F79/$L66</f>
        <v>18.655796856307088</v>
      </c>
      <c r="M67" s="83"/>
      <c r="N67" s="83"/>
      <c r="O67" s="83"/>
    </row>
    <row r="68" spans="1:15" ht="11.25">
      <c r="A68" s="83"/>
      <c r="B68" s="69" t="s">
        <v>328</v>
      </c>
      <c r="C68" s="70">
        <v>1000</v>
      </c>
      <c r="D68" s="71">
        <v>43.75</v>
      </c>
      <c r="E68" s="71">
        <v>41.75</v>
      </c>
      <c r="F68" s="71">
        <f t="shared" si="6"/>
        <v>41750</v>
      </c>
      <c r="G68" s="72">
        <f>$F68/$F79</f>
        <v>0.1318911931062554</v>
      </c>
      <c r="H68" s="71">
        <f t="shared" si="7"/>
        <v>-2000</v>
      </c>
      <c r="I68" s="86"/>
      <c r="J68" s="154" t="s">
        <v>385</v>
      </c>
      <c r="K68" s="154"/>
      <c r="L68" s="154"/>
      <c r="M68" s="83"/>
      <c r="N68" s="83"/>
      <c r="O68" s="83"/>
    </row>
    <row r="69" spans="1:15" ht="11.25">
      <c r="A69" s="83"/>
      <c r="B69" s="69" t="s">
        <v>490</v>
      </c>
      <c r="C69" s="70">
        <v>6700</v>
      </c>
      <c r="D69" s="71">
        <v>4.22</v>
      </c>
      <c r="E69" s="71">
        <v>4.04</v>
      </c>
      <c r="F69" s="71">
        <f t="shared" si="6"/>
        <v>27068</v>
      </c>
      <c r="G69" s="72">
        <f>$F69/$F79</f>
        <v>0.08550972011976338</v>
      </c>
      <c r="H69" s="71">
        <f t="shared" si="7"/>
        <v>-1206</v>
      </c>
      <c r="I69" s="86"/>
      <c r="J69" s="92" t="s">
        <v>390</v>
      </c>
      <c r="K69" s="93"/>
      <c r="L69" s="136">
        <v>546.5050000000956</v>
      </c>
      <c r="M69" s="83"/>
      <c r="N69" s="83"/>
      <c r="O69" s="83"/>
    </row>
    <row r="70" spans="1:15" ht="11.25">
      <c r="A70" s="83"/>
      <c r="B70" s="69" t="s">
        <v>499</v>
      </c>
      <c r="C70" s="70">
        <v>300</v>
      </c>
      <c r="D70" s="71">
        <v>88</v>
      </c>
      <c r="E70" s="71">
        <v>84.5</v>
      </c>
      <c r="F70" s="71">
        <f t="shared" si="6"/>
        <v>25350</v>
      </c>
      <c r="G70" s="72">
        <f>$F70/$F79</f>
        <v>0.08008243701182213</v>
      </c>
      <c r="H70" s="71">
        <f t="shared" si="7"/>
        <v>-1050</v>
      </c>
      <c r="I70" s="88"/>
      <c r="J70" s="148" t="s">
        <v>388</v>
      </c>
      <c r="K70" s="148"/>
      <c r="L70" s="103">
        <v>0</v>
      </c>
      <c r="M70" s="83"/>
      <c r="N70" s="83"/>
      <c r="O70" s="83"/>
    </row>
    <row r="71" spans="1:15" ht="11.25">
      <c r="A71" s="83"/>
      <c r="B71" s="69"/>
      <c r="C71" s="70"/>
      <c r="D71" s="71"/>
      <c r="E71" s="71"/>
      <c r="F71" s="71"/>
      <c r="G71" s="72"/>
      <c r="H71" s="71"/>
      <c r="I71" s="86"/>
      <c r="J71" s="148" t="s">
        <v>389</v>
      </c>
      <c r="K71" s="148"/>
      <c r="L71" s="103">
        <v>0</v>
      </c>
      <c r="M71" s="83"/>
      <c r="N71" s="83"/>
      <c r="O71" s="83"/>
    </row>
    <row r="72" spans="1:15" ht="11.25">
      <c r="A72" s="83"/>
      <c r="B72" s="150" t="s">
        <v>31</v>
      </c>
      <c r="C72" s="150"/>
      <c r="D72" s="150"/>
      <c r="E72" s="73"/>
      <c r="F72" s="73">
        <f>SUM($F65:$F71)</f>
        <v>152333</v>
      </c>
      <c r="G72" s="74">
        <f>SUM($G65:$G71)</f>
        <v>0.48123068549593306</v>
      </c>
      <c r="H72" s="71">
        <f>SUM(H65:H71)</f>
        <v>-5361</v>
      </c>
      <c r="I72" s="88"/>
      <c r="J72" s="147" t="s">
        <v>397</v>
      </c>
      <c r="K72" s="147"/>
      <c r="L72" s="110">
        <f>$L64*$N64</f>
        <v>0</v>
      </c>
      <c r="M72" s="83"/>
      <c r="N72" s="81"/>
      <c r="O72" s="83"/>
    </row>
    <row r="73" spans="1:15" ht="11.25">
      <c r="A73" s="83"/>
      <c r="B73" s="143" t="s">
        <v>386</v>
      </c>
      <c r="C73" s="143"/>
      <c r="D73" s="71"/>
      <c r="E73" s="71"/>
      <c r="F73" s="71">
        <v>25487.900776872426</v>
      </c>
      <c r="G73" s="85"/>
      <c r="H73" s="85"/>
      <c r="I73" s="86"/>
      <c r="J73" s="148" t="s">
        <v>393</v>
      </c>
      <c r="K73" s="148"/>
      <c r="L73" s="103">
        <v>0</v>
      </c>
      <c r="M73" s="94"/>
      <c r="N73" s="83"/>
      <c r="O73" s="83"/>
    </row>
    <row r="74" spans="1:15" ht="11.25">
      <c r="A74" s="83"/>
      <c r="B74" s="75" t="s">
        <v>14</v>
      </c>
      <c r="C74" s="75"/>
      <c r="D74" s="71"/>
      <c r="E74" s="71"/>
      <c r="F74" s="71">
        <v>0</v>
      </c>
      <c r="G74" s="85"/>
      <c r="H74" s="85"/>
      <c r="I74" s="86"/>
      <c r="J74" s="147" t="s">
        <v>398</v>
      </c>
      <c r="K74" s="147"/>
      <c r="L74" s="110"/>
      <c r="M74" s="83"/>
      <c r="N74" s="118"/>
      <c r="O74" s="83"/>
    </row>
    <row r="75" spans="1:15" ht="11.25">
      <c r="A75" s="83"/>
      <c r="B75" s="143" t="s">
        <v>34</v>
      </c>
      <c r="C75" s="143"/>
      <c r="D75" s="71"/>
      <c r="E75" s="71"/>
      <c r="F75" s="71">
        <v>138727.9075</v>
      </c>
      <c r="G75" s="85"/>
      <c r="H75" s="85">
        <f>SUM(F75:G75)</f>
        <v>138727.9075</v>
      </c>
      <c r="I75" s="86"/>
      <c r="J75" s="148" t="s">
        <v>392</v>
      </c>
      <c r="K75" s="148"/>
      <c r="L75" s="103">
        <v>0</v>
      </c>
      <c r="M75" s="83"/>
      <c r="N75" s="83"/>
      <c r="O75" s="83"/>
    </row>
    <row r="76" spans="1:15" ht="11.25">
      <c r="A76" s="83"/>
      <c r="B76" s="75" t="s">
        <v>151</v>
      </c>
      <c r="C76" s="75"/>
      <c r="D76" s="71"/>
      <c r="E76" s="71"/>
      <c r="F76" s="71">
        <v>0</v>
      </c>
      <c r="G76" s="85"/>
      <c r="H76" s="85"/>
      <c r="I76" s="86"/>
      <c r="J76" s="149" t="s">
        <v>391</v>
      </c>
      <c r="K76" s="149"/>
      <c r="L76" s="109">
        <f>SUM(L69:L71,L73,L75)</f>
        <v>546.5050000000956</v>
      </c>
      <c r="M76" s="83"/>
      <c r="N76" s="83"/>
      <c r="O76" s="83"/>
    </row>
    <row r="77" spans="1:15" ht="11.25">
      <c r="A77" s="83"/>
      <c r="B77" s="143" t="s">
        <v>133</v>
      </c>
      <c r="C77" s="143"/>
      <c r="D77" s="71"/>
      <c r="E77" s="71"/>
      <c r="F77" s="71">
        <v>0</v>
      </c>
      <c r="G77" s="85"/>
      <c r="H77" s="85"/>
      <c r="I77" s="86"/>
      <c r="J77" s="78" t="s">
        <v>324</v>
      </c>
      <c r="K77" s="78"/>
      <c r="L77" s="73">
        <v>149536.4252768724</v>
      </c>
      <c r="M77" s="83"/>
      <c r="N77" s="83"/>
      <c r="O77" s="83"/>
    </row>
    <row r="78" spans="1:15" ht="11.25">
      <c r="A78" s="83"/>
      <c r="B78" s="144" t="s">
        <v>387</v>
      </c>
      <c r="C78" s="144"/>
      <c r="D78" s="144"/>
      <c r="E78" s="76"/>
      <c r="F78" s="73">
        <f>SUM($F73:$F77)</f>
        <v>164215.80827687244</v>
      </c>
      <c r="G78" s="74">
        <f>$F78/$F79</f>
        <v>0.5187693145040669</v>
      </c>
      <c r="H78" s="80">
        <f>H62+5</f>
        <v>38006</v>
      </c>
      <c r="I78" s="86"/>
      <c r="J78" s="132" t="s">
        <v>181</v>
      </c>
      <c r="K78" s="132"/>
      <c r="L78" s="133">
        <f>SUM($L76:$L77)</f>
        <v>150082.9302768725</v>
      </c>
      <c r="M78" s="83"/>
      <c r="N78" s="83"/>
      <c r="O78" s="83"/>
    </row>
    <row r="79" spans="1:15" ht="13.5">
      <c r="A79" s="83"/>
      <c r="B79" s="146" t="s">
        <v>18</v>
      </c>
      <c r="C79" s="146"/>
      <c r="D79" s="146"/>
      <c r="E79" s="77"/>
      <c r="F79" s="97">
        <f>SUM($F72,$F78)</f>
        <v>316548.80827687244</v>
      </c>
      <c r="G79" s="79">
        <f>SUM($G72,$G78)</f>
        <v>1</v>
      </c>
      <c r="H79" s="89"/>
      <c r="I79" s="86"/>
      <c r="J79" s="145" t="s">
        <v>180</v>
      </c>
      <c r="K79" s="145"/>
      <c r="L79" s="108">
        <f>$F79+$L76+$L72+$L74</f>
        <v>317095.31327687256</v>
      </c>
      <c r="M79" s="83"/>
      <c r="N79" s="83"/>
      <c r="O79" s="83"/>
    </row>
    <row r="80" spans="1:15" ht="11.25">
      <c r="A80" s="83"/>
      <c r="B80" s="83"/>
      <c r="C80" s="83"/>
      <c r="D80" s="83"/>
      <c r="E80" s="83"/>
      <c r="F80" s="83"/>
      <c r="G80" s="89"/>
      <c r="H80" s="90"/>
      <c r="I80" s="86"/>
      <c r="J80" s="83"/>
      <c r="K80" s="83"/>
      <c r="L80" s="83"/>
      <c r="M80" s="83"/>
      <c r="N80" s="83"/>
      <c r="O80" s="83"/>
    </row>
  </sheetData>
  <mergeCells count="72">
    <mergeCell ref="B58:C58"/>
    <mergeCell ref="B59:D59"/>
    <mergeCell ref="J58:K58"/>
    <mergeCell ref="B60:D60"/>
    <mergeCell ref="B54:C54"/>
    <mergeCell ref="J53:K53"/>
    <mergeCell ref="J54:K54"/>
    <mergeCell ref="B56:C56"/>
    <mergeCell ref="J55:K55"/>
    <mergeCell ref="J49:K49"/>
    <mergeCell ref="J50:K50"/>
    <mergeCell ref="J51:K51"/>
    <mergeCell ref="B53:D53"/>
    <mergeCell ref="J52:K52"/>
    <mergeCell ref="H41:J41"/>
    <mergeCell ref="B42:H42"/>
    <mergeCell ref="J46:K46"/>
    <mergeCell ref="J47:L47"/>
    <mergeCell ref="B17:C17"/>
    <mergeCell ref="B18:D18"/>
    <mergeCell ref="J18:K18"/>
    <mergeCell ref="B19:D19"/>
    <mergeCell ref="B13:C13"/>
    <mergeCell ref="J13:K13"/>
    <mergeCell ref="J14:K14"/>
    <mergeCell ref="B15:C15"/>
    <mergeCell ref="J15:K15"/>
    <mergeCell ref="J9:K9"/>
    <mergeCell ref="J10:K10"/>
    <mergeCell ref="J11:K11"/>
    <mergeCell ref="B12:D12"/>
    <mergeCell ref="J12:K12"/>
    <mergeCell ref="H1:J1"/>
    <mergeCell ref="B2:H2"/>
    <mergeCell ref="J6:K6"/>
    <mergeCell ref="J7:L7"/>
    <mergeCell ref="H21:J21"/>
    <mergeCell ref="B22:H22"/>
    <mergeCell ref="J26:K26"/>
    <mergeCell ref="J27:L27"/>
    <mergeCell ref="J29:K29"/>
    <mergeCell ref="J30:K30"/>
    <mergeCell ref="J31:K31"/>
    <mergeCell ref="B32:D32"/>
    <mergeCell ref="J32:K32"/>
    <mergeCell ref="B33:C33"/>
    <mergeCell ref="J33:K33"/>
    <mergeCell ref="J34:K34"/>
    <mergeCell ref="B35:C35"/>
    <mergeCell ref="J35:K35"/>
    <mergeCell ref="B37:C37"/>
    <mergeCell ref="B38:D38"/>
    <mergeCell ref="J38:K38"/>
    <mergeCell ref="B39:D39"/>
    <mergeCell ref="H62:J62"/>
    <mergeCell ref="B63:H63"/>
    <mergeCell ref="J67:K67"/>
    <mergeCell ref="J68:L68"/>
    <mergeCell ref="J70:K70"/>
    <mergeCell ref="J71:K71"/>
    <mergeCell ref="J72:K72"/>
    <mergeCell ref="J73:K73"/>
    <mergeCell ref="B72:D72"/>
    <mergeCell ref="J74:K74"/>
    <mergeCell ref="B73:C73"/>
    <mergeCell ref="J75:K75"/>
    <mergeCell ref="B78:D78"/>
    <mergeCell ref="B79:D79"/>
    <mergeCell ref="J76:K76"/>
    <mergeCell ref="B75:C75"/>
    <mergeCell ref="B77:C77"/>
    <mergeCell ref="J79:K7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9" ySplit="2" topLeftCell="J284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H311" sqref="H311"/>
    </sheetView>
  </sheetViews>
  <sheetFormatPr defaultColWidth="9.140625" defaultRowHeight="21.75"/>
  <cols>
    <col min="1" max="1" width="4.8515625" style="52" bestFit="1" customWidth="1"/>
    <col min="2" max="2" width="7.7109375" style="53" bestFit="1" customWidth="1"/>
    <col min="3" max="3" width="7.421875" style="2" bestFit="1" customWidth="1"/>
    <col min="4" max="4" width="7.7109375" style="58" bestFit="1" customWidth="1"/>
    <col min="5" max="5" width="20.57421875" style="66" bestFit="1" customWidth="1"/>
    <col min="6" max="6" width="6.8515625" style="5" bestFit="1" customWidth="1"/>
    <col min="7" max="7" width="8.57421875" style="39" bestFit="1" customWidth="1"/>
    <col min="8" max="8" width="7.7109375" style="58" customWidth="1"/>
    <col min="9" max="9" width="20.57421875" style="66" bestFit="1" customWidth="1"/>
    <col min="10" max="16384" width="9.140625" style="2" customWidth="1"/>
  </cols>
  <sheetData>
    <row r="1" spans="1:9" ht="12" thickBot="1">
      <c r="A1" s="155" t="s">
        <v>19</v>
      </c>
      <c r="B1" s="156"/>
      <c r="C1" s="156"/>
      <c r="D1" s="156"/>
      <c r="E1" s="156"/>
      <c r="F1" s="156"/>
      <c r="G1" s="156"/>
      <c r="H1" s="156"/>
      <c r="I1" s="157"/>
    </row>
    <row r="2" spans="1:9" ht="12" thickBot="1">
      <c r="A2" s="45" t="s">
        <v>0</v>
      </c>
      <c r="B2" s="46" t="s">
        <v>15</v>
      </c>
      <c r="C2" s="47" t="s">
        <v>20</v>
      </c>
      <c r="D2" s="48" t="s">
        <v>21</v>
      </c>
      <c r="E2" s="48" t="s">
        <v>24</v>
      </c>
      <c r="F2" s="49" t="s">
        <v>22</v>
      </c>
      <c r="G2" s="50" t="s">
        <v>20</v>
      </c>
      <c r="H2" s="51" t="s">
        <v>21</v>
      </c>
      <c r="I2" s="51" t="s">
        <v>24</v>
      </c>
    </row>
    <row r="3" spans="1:11" ht="11.25">
      <c r="A3" s="52" t="s">
        <v>25</v>
      </c>
      <c r="B3" s="53">
        <v>10.127806642857143</v>
      </c>
      <c r="C3" s="54">
        <v>0</v>
      </c>
      <c r="D3" s="55">
        <v>0</v>
      </c>
      <c r="E3" s="56">
        <f>(B3-$B$3)/$B$3</f>
        <v>0</v>
      </c>
      <c r="F3" s="5">
        <v>344.28</v>
      </c>
      <c r="G3" s="39">
        <v>0</v>
      </c>
      <c r="H3" s="55">
        <v>0</v>
      </c>
      <c r="I3" s="56">
        <f>(F3-$F$3)/$F$3</f>
        <v>0</v>
      </c>
      <c r="K3" s="57"/>
    </row>
    <row r="4" spans="1:11" ht="11.25">
      <c r="A4" s="52" t="s">
        <v>23</v>
      </c>
      <c r="B4" s="53">
        <v>10.295216678571428</v>
      </c>
      <c r="C4" s="10">
        <f aca="true" t="shared" si="0" ref="C4:C107">$B4-$B3</f>
        <v>0.16741003571428514</v>
      </c>
      <c r="D4" s="58">
        <f aca="true" t="shared" si="1" ref="D4:D71">$C4/$B3</f>
        <v>0.0165297424820363</v>
      </c>
      <c r="E4" s="56">
        <f aca="true" t="shared" si="2" ref="E4:E67">(B4-$B$3)/$B$3</f>
        <v>0.0165297424820363</v>
      </c>
      <c r="F4" s="5">
        <v>346.21</v>
      </c>
      <c r="G4" s="39">
        <f aca="true" t="shared" si="3" ref="G4:G105">$F4-$F3</f>
        <v>1.9300000000000068</v>
      </c>
      <c r="H4" s="58">
        <f aca="true" t="shared" si="4" ref="H4:H105">$G4/$F3</f>
        <v>0.005605902172650189</v>
      </c>
      <c r="I4" s="56">
        <f aca="true" t="shared" si="5" ref="I4:I67">(F4-$F$3)/$F$3</f>
        <v>0.005605902172650189</v>
      </c>
      <c r="K4" s="57"/>
    </row>
    <row r="5" spans="1:11" ht="11.25">
      <c r="A5" s="52" t="s">
        <v>35</v>
      </c>
      <c r="B5" s="53">
        <v>10.529749142857144</v>
      </c>
      <c r="C5" s="10">
        <f t="shared" si="0"/>
        <v>0.2345324642857154</v>
      </c>
      <c r="D5" s="58">
        <f t="shared" si="1"/>
        <v>0.022780721533901635</v>
      </c>
      <c r="E5" s="56">
        <f t="shared" si="2"/>
        <v>0.039687023476448306</v>
      </c>
      <c r="F5" s="5">
        <v>346.59</v>
      </c>
      <c r="G5" s="39">
        <f t="shared" si="3"/>
        <v>0.37999999999999545</v>
      </c>
      <c r="H5" s="58">
        <f t="shared" si="4"/>
        <v>0.0010975997227116359</v>
      </c>
      <c r="I5" s="56">
        <f t="shared" si="5"/>
        <v>0.006709654932032074</v>
      </c>
      <c r="K5" s="57"/>
    </row>
    <row r="6" spans="1:11" s="62" customFormat="1" ht="11.25">
      <c r="A6" s="59" t="s">
        <v>37</v>
      </c>
      <c r="B6" s="60">
        <v>10.640004857142857</v>
      </c>
      <c r="C6" s="10">
        <f t="shared" si="0"/>
        <v>0.11025571428571368</v>
      </c>
      <c r="D6" s="58">
        <f t="shared" si="1"/>
        <v>0.010470877585958983</v>
      </c>
      <c r="E6" s="56">
        <f t="shared" si="2"/>
        <v>0.05057345902698026</v>
      </c>
      <c r="F6" s="61">
        <v>348.46</v>
      </c>
      <c r="G6" s="39">
        <f t="shared" si="3"/>
        <v>1.8700000000000045</v>
      </c>
      <c r="H6" s="58">
        <f t="shared" si="4"/>
        <v>0.005395423987997359</v>
      </c>
      <c r="I6" s="56">
        <f t="shared" si="5"/>
        <v>0.012141280353200903</v>
      </c>
      <c r="K6" s="57"/>
    </row>
    <row r="7" spans="1:11" ht="11.25">
      <c r="A7" s="52" t="s">
        <v>39</v>
      </c>
      <c r="B7" s="53">
        <v>10.759629714285714</v>
      </c>
      <c r="C7" s="10">
        <f t="shared" si="0"/>
        <v>0.1196248571428562</v>
      </c>
      <c r="D7" s="58">
        <f t="shared" si="1"/>
        <v>0.011242932569015656</v>
      </c>
      <c r="E7" s="56">
        <f t="shared" si="2"/>
        <v>0.06238498558561813</v>
      </c>
      <c r="F7" s="5">
        <v>357.42</v>
      </c>
      <c r="G7" s="39">
        <f t="shared" si="3"/>
        <v>8.960000000000036</v>
      </c>
      <c r="H7" s="58">
        <f t="shared" si="4"/>
        <v>0.025713137806348037</v>
      </c>
      <c r="I7" s="56">
        <f t="shared" si="5"/>
        <v>0.038166608574416304</v>
      </c>
      <c r="K7" s="57"/>
    </row>
    <row r="8" spans="1:11" ht="11.25">
      <c r="A8" s="59" t="s">
        <v>41</v>
      </c>
      <c r="B8" s="60">
        <v>10.71989417857143</v>
      </c>
      <c r="C8" s="10">
        <f t="shared" si="0"/>
        <v>-0.0397355357142839</v>
      </c>
      <c r="D8" s="58">
        <f t="shared" si="1"/>
        <v>-0.0036930207422962206</v>
      </c>
      <c r="E8" s="56">
        <f t="shared" si="2"/>
        <v>0.05846157579754637</v>
      </c>
      <c r="F8" s="61">
        <v>353.95</v>
      </c>
      <c r="G8" s="39">
        <f t="shared" si="3"/>
        <v>-3.4700000000000273</v>
      </c>
      <c r="H8" s="58">
        <f t="shared" si="4"/>
        <v>-0.009708466230205437</v>
      </c>
      <c r="I8" s="56">
        <f t="shared" si="5"/>
        <v>0.028087603113744676</v>
      </c>
      <c r="K8" s="57"/>
    </row>
    <row r="9" spans="1:9" ht="11.25">
      <c r="A9" s="59" t="s">
        <v>42</v>
      </c>
      <c r="B9" s="60">
        <v>10.748465607142858</v>
      </c>
      <c r="C9" s="10">
        <f t="shared" si="0"/>
        <v>0.02857142857142847</v>
      </c>
      <c r="D9" s="58">
        <f t="shared" si="1"/>
        <v>0.002665271512524949</v>
      </c>
      <c r="E9" s="56">
        <f t="shared" si="2"/>
        <v>0.06128266328262184</v>
      </c>
      <c r="F9" s="61">
        <v>355</v>
      </c>
      <c r="G9" s="39">
        <f t="shared" si="3"/>
        <v>1.0500000000000114</v>
      </c>
      <c r="H9" s="58">
        <f t="shared" si="4"/>
        <v>0.002966520695013452</v>
      </c>
      <c r="I9" s="56">
        <f t="shared" si="5"/>
        <v>0.031137446264668377</v>
      </c>
    </row>
    <row r="10" spans="1:9" ht="11.25">
      <c r="A10" s="59" t="s">
        <v>43</v>
      </c>
      <c r="B10" s="60">
        <v>10.780608464285715</v>
      </c>
      <c r="C10" s="10">
        <f t="shared" si="0"/>
        <v>0.032142857142856585</v>
      </c>
      <c r="D10" s="58">
        <f t="shared" si="1"/>
        <v>0.0029904600635737395</v>
      </c>
      <c r="E10" s="56">
        <f t="shared" si="2"/>
        <v>0.06445638670333169</v>
      </c>
      <c r="F10" s="61">
        <v>357.22</v>
      </c>
      <c r="G10" s="39">
        <f t="shared" si="3"/>
        <v>2.2200000000000273</v>
      </c>
      <c r="H10" s="58">
        <f t="shared" si="4"/>
        <v>0.00625352112676064</v>
      </c>
      <c r="I10" s="56">
        <f t="shared" si="5"/>
        <v>0.03758568606947849</v>
      </c>
    </row>
    <row r="11" spans="1:9" ht="11.25">
      <c r="A11" s="52" t="s">
        <v>44</v>
      </c>
      <c r="B11" s="53">
        <v>10.987751321428572</v>
      </c>
      <c r="C11" s="10">
        <f t="shared" si="0"/>
        <v>0.2071428571428573</v>
      </c>
      <c r="D11" s="58">
        <f t="shared" si="1"/>
        <v>0.01921439386553047</v>
      </c>
      <c r="E11" s="56">
        <f t="shared" si="2"/>
        <v>0.08490927097012892</v>
      </c>
      <c r="F11" s="5">
        <v>357.68</v>
      </c>
      <c r="G11" s="39">
        <f t="shared" si="3"/>
        <v>0.45999999999997954</v>
      </c>
      <c r="H11" s="58">
        <f t="shared" si="4"/>
        <v>0.0012877218520798933</v>
      </c>
      <c r="I11" s="56">
        <f t="shared" si="5"/>
        <v>0.038921807830835466</v>
      </c>
    </row>
    <row r="12" spans="1:9" ht="11.25">
      <c r="A12" s="59" t="s">
        <v>46</v>
      </c>
      <c r="B12" s="60">
        <v>10.891769357142858</v>
      </c>
      <c r="C12" s="10">
        <f t="shared" si="0"/>
        <v>-0.09598196428571448</v>
      </c>
      <c r="D12" s="58">
        <f t="shared" si="1"/>
        <v>-0.008735360082142393</v>
      </c>
      <c r="E12" s="56">
        <f t="shared" si="2"/>
        <v>0.07543219783175024</v>
      </c>
      <c r="F12" s="61">
        <v>358.8</v>
      </c>
      <c r="G12" s="39">
        <f t="shared" si="3"/>
        <v>1.1200000000000045</v>
      </c>
      <c r="H12" s="58">
        <f t="shared" si="4"/>
        <v>0.0031312905390293126</v>
      </c>
      <c r="I12" s="56">
        <f t="shared" si="5"/>
        <v>0.0421749738584874</v>
      </c>
    </row>
    <row r="13" spans="1:9" s="62" customFormat="1" ht="11.25">
      <c r="A13" s="59" t="s">
        <v>47</v>
      </c>
      <c r="B13" s="60">
        <v>10.556055071428572</v>
      </c>
      <c r="C13" s="10">
        <f t="shared" si="0"/>
        <v>-0.3357142857142854</v>
      </c>
      <c r="D13" s="58">
        <f t="shared" si="1"/>
        <v>-0.030822750161719398</v>
      </c>
      <c r="E13" s="56">
        <f t="shared" si="2"/>
        <v>0.04228441988211342</v>
      </c>
      <c r="F13" s="61">
        <v>355.77</v>
      </c>
      <c r="G13" s="39">
        <f t="shared" si="3"/>
        <v>-3.0300000000000296</v>
      </c>
      <c r="H13" s="58">
        <f t="shared" si="4"/>
        <v>-0.008444816053511788</v>
      </c>
      <c r="I13" s="56">
        <f t="shared" si="5"/>
        <v>0.03337399790867901</v>
      </c>
    </row>
    <row r="14" spans="1:9" s="62" customFormat="1" ht="11.25">
      <c r="A14" s="59" t="s">
        <v>48</v>
      </c>
      <c r="B14" s="60">
        <v>10.524199433962265</v>
      </c>
      <c r="C14" s="10">
        <f t="shared" si="0"/>
        <v>-0.031855637466307485</v>
      </c>
      <c r="D14" s="58">
        <f t="shared" si="1"/>
        <v>-0.003017759688705034</v>
      </c>
      <c r="E14" s="56">
        <f t="shared" si="2"/>
        <v>0.03913905597562787</v>
      </c>
      <c r="F14" s="61">
        <v>353.8</v>
      </c>
      <c r="G14" s="39">
        <f t="shared" si="3"/>
        <v>-1.9699999999999704</v>
      </c>
      <c r="H14" s="58">
        <f t="shared" si="4"/>
        <v>-0.005537285324788404</v>
      </c>
      <c r="I14" s="56">
        <f t="shared" si="5"/>
        <v>0.02765191123504136</v>
      </c>
    </row>
    <row r="15" spans="1:9" s="62" customFormat="1" ht="11.25">
      <c r="A15" s="59" t="s">
        <v>49</v>
      </c>
      <c r="B15" s="60">
        <v>10.646840943396226</v>
      </c>
      <c r="C15" s="10">
        <f t="shared" si="0"/>
        <v>0.12264150943396146</v>
      </c>
      <c r="D15" s="58">
        <f t="shared" si="1"/>
        <v>0.011653286333418337</v>
      </c>
      <c r="E15" s="56">
        <f t="shared" si="2"/>
        <v>0.05124844093514989</v>
      </c>
      <c r="F15" s="61">
        <v>357.46</v>
      </c>
      <c r="G15" s="39">
        <f t="shared" si="3"/>
        <v>3.659999999999968</v>
      </c>
      <c r="H15" s="58">
        <f t="shared" si="4"/>
        <v>0.010344827586206806</v>
      </c>
      <c r="I15" s="56">
        <f t="shared" si="5"/>
        <v>0.03828279307540376</v>
      </c>
    </row>
    <row r="16" spans="1:9" s="62" customFormat="1" ht="11.25">
      <c r="A16" s="59" t="s">
        <v>51</v>
      </c>
      <c r="B16" s="60">
        <v>10.616537012578616</v>
      </c>
      <c r="C16" s="10">
        <f t="shared" si="0"/>
        <v>-0.030303930817609626</v>
      </c>
      <c r="D16" s="58">
        <f t="shared" si="1"/>
        <v>-0.0028462837924150487</v>
      </c>
      <c r="E16" s="56">
        <f t="shared" si="2"/>
        <v>0.04825628953591458</v>
      </c>
      <c r="F16" s="61">
        <v>355</v>
      </c>
      <c r="G16" s="39">
        <f t="shared" si="3"/>
        <v>-2.4599999999999795</v>
      </c>
      <c r="H16" s="58">
        <f t="shared" si="4"/>
        <v>-0.00688188888267213</v>
      </c>
      <c r="I16" s="56">
        <f t="shared" si="5"/>
        <v>0.031137446264668377</v>
      </c>
    </row>
    <row r="17" spans="1:9" ht="11.25">
      <c r="A17" s="52" t="s">
        <v>53</v>
      </c>
      <c r="B17" s="53">
        <v>10.659580628930817</v>
      </c>
      <c r="C17" s="10">
        <f t="shared" si="0"/>
        <v>0.04304361635220033</v>
      </c>
      <c r="D17" s="58">
        <f t="shared" si="1"/>
        <v>0.004054393282969924</v>
      </c>
      <c r="E17" s="56">
        <f t="shared" si="2"/>
        <v>0.05250633279503997</v>
      </c>
      <c r="F17" s="5">
        <v>350.36</v>
      </c>
      <c r="G17" s="39">
        <f t="shared" si="3"/>
        <v>-4.639999999999986</v>
      </c>
      <c r="H17" s="58">
        <f t="shared" si="4"/>
        <v>-0.01307042253521123</v>
      </c>
      <c r="I17" s="56">
        <f t="shared" si="5"/>
        <v>0.017660044150110497</v>
      </c>
    </row>
    <row r="18" spans="1:9" ht="11.25">
      <c r="A18" s="52" t="s">
        <v>55</v>
      </c>
      <c r="B18" s="53">
        <v>10.467873081761006</v>
      </c>
      <c r="C18" s="10">
        <f t="shared" si="0"/>
        <v>-0.19170754716981087</v>
      </c>
      <c r="D18" s="58">
        <f t="shared" si="1"/>
        <v>-0.017984529958852576</v>
      </c>
      <c r="E18" s="56">
        <f t="shared" si="2"/>
        <v>0.033577501121005514</v>
      </c>
      <c r="F18" s="5">
        <v>345.07</v>
      </c>
      <c r="G18" s="39">
        <f t="shared" si="3"/>
        <v>-5.2900000000000205</v>
      </c>
      <c r="H18" s="58">
        <f t="shared" si="4"/>
        <v>-0.015098755565703906</v>
      </c>
      <c r="I18" s="56">
        <f t="shared" si="5"/>
        <v>0.002294643894504533</v>
      </c>
    </row>
    <row r="19" spans="1:9" s="62" customFormat="1" ht="11.25">
      <c r="A19" s="59" t="s">
        <v>56</v>
      </c>
      <c r="B19" s="60">
        <v>10.455294465408805</v>
      </c>
      <c r="C19" s="63">
        <f t="shared" si="0"/>
        <v>-0.012578616352200811</v>
      </c>
      <c r="D19" s="64">
        <f t="shared" si="1"/>
        <v>-0.0012016401282240914</v>
      </c>
      <c r="E19" s="56">
        <f t="shared" si="2"/>
        <v>0.03233551292002893</v>
      </c>
      <c r="F19" s="61">
        <v>343.67</v>
      </c>
      <c r="G19" s="65">
        <f t="shared" si="3"/>
        <v>-1.3999999999999773</v>
      </c>
      <c r="H19" s="64">
        <f t="shared" si="4"/>
        <v>-0.004057147825078903</v>
      </c>
      <c r="I19" s="56">
        <f t="shared" si="5"/>
        <v>-0.0017718136400602907</v>
      </c>
    </row>
    <row r="20" spans="1:9" ht="11.25">
      <c r="A20" s="52" t="s">
        <v>57</v>
      </c>
      <c r="B20" s="53">
        <v>10.417558616352201</v>
      </c>
      <c r="C20" s="63">
        <f t="shared" si="0"/>
        <v>-0.03773584905660421</v>
      </c>
      <c r="D20" s="64">
        <f t="shared" si="1"/>
        <v>-0.0036092574132132516</v>
      </c>
      <c r="E20" s="56">
        <f t="shared" si="2"/>
        <v>0.028609548317099012</v>
      </c>
      <c r="F20" s="5">
        <v>348.95</v>
      </c>
      <c r="G20" s="65">
        <f t="shared" si="3"/>
        <v>5.279999999999973</v>
      </c>
      <c r="H20" s="64">
        <f t="shared" si="4"/>
        <v>0.015363575523030734</v>
      </c>
      <c r="I20" s="56">
        <f t="shared" si="5"/>
        <v>0.013564540490298642</v>
      </c>
    </row>
    <row r="21" spans="1:9" s="62" customFormat="1" ht="11.25">
      <c r="A21" s="59" t="s">
        <v>59</v>
      </c>
      <c r="B21" s="60">
        <v>10.114812389937107</v>
      </c>
      <c r="C21" s="63">
        <f t="shared" si="0"/>
        <v>-0.30274622641509374</v>
      </c>
      <c r="D21" s="64">
        <f t="shared" si="1"/>
        <v>-0.02906114931188196</v>
      </c>
      <c r="E21" s="56">
        <f t="shared" si="2"/>
        <v>-0.001283027350171664</v>
      </c>
      <c r="F21" s="61">
        <v>356.24</v>
      </c>
      <c r="G21" s="65">
        <f t="shared" si="3"/>
        <v>7.2900000000000205</v>
      </c>
      <c r="H21" s="64">
        <f t="shared" si="4"/>
        <v>0.02089124516406368</v>
      </c>
      <c r="I21" s="56">
        <f t="shared" si="5"/>
        <v>0.034739165795283015</v>
      </c>
    </row>
    <row r="22" spans="1:9" ht="11.25">
      <c r="A22" s="52" t="s">
        <v>61</v>
      </c>
      <c r="B22" s="53">
        <v>10.156026540880502</v>
      </c>
      <c r="C22" s="63">
        <f t="shared" si="0"/>
        <v>0.041214150943394756</v>
      </c>
      <c r="D22" s="64">
        <f t="shared" si="1"/>
        <v>0.004074633256114305</v>
      </c>
      <c r="E22" s="56">
        <f t="shared" si="2"/>
        <v>0.002786378040033128</v>
      </c>
      <c r="F22" s="5">
        <v>357.1</v>
      </c>
      <c r="G22" s="65">
        <f t="shared" si="3"/>
        <v>0.8600000000000136</v>
      </c>
      <c r="H22" s="64">
        <f t="shared" si="4"/>
        <v>0.002414102852009919</v>
      </c>
      <c r="I22" s="56">
        <f t="shared" si="5"/>
        <v>0.03723713256651578</v>
      </c>
    </row>
    <row r="23" spans="1:9" ht="11.25">
      <c r="A23" s="52" t="s">
        <v>62</v>
      </c>
      <c r="B23" s="53">
        <v>9.992971792452831</v>
      </c>
      <c r="C23" s="63">
        <f t="shared" si="0"/>
        <v>-0.16305474842767076</v>
      </c>
      <c r="D23" s="64">
        <f t="shared" si="1"/>
        <v>-0.01605497462726543</v>
      </c>
      <c r="E23" s="56">
        <f t="shared" si="2"/>
        <v>-0.013313331815967003</v>
      </c>
      <c r="F23" s="5">
        <v>353.62</v>
      </c>
      <c r="G23" s="65">
        <f t="shared" si="3"/>
        <v>-3.480000000000018</v>
      </c>
      <c r="H23" s="64">
        <f t="shared" si="4"/>
        <v>-0.00974516942033049</v>
      </c>
      <c r="I23" s="56">
        <f t="shared" si="5"/>
        <v>0.027129080980597284</v>
      </c>
    </row>
    <row r="24" spans="1:9" ht="11.25">
      <c r="A24" s="52" t="s">
        <v>66</v>
      </c>
      <c r="B24" s="53">
        <v>10.082594433962266</v>
      </c>
      <c r="C24" s="63">
        <f t="shared" si="0"/>
        <v>0.08962264150943433</v>
      </c>
      <c r="D24" s="64">
        <f t="shared" si="1"/>
        <v>0.00896856744628476</v>
      </c>
      <c r="E24" s="56">
        <f t="shared" si="2"/>
        <v>-0.004464165884008513</v>
      </c>
      <c r="F24" s="5">
        <v>352.18</v>
      </c>
      <c r="G24" s="65">
        <f t="shared" si="3"/>
        <v>-1.4399999999999977</v>
      </c>
      <c r="H24" s="64">
        <f t="shared" si="4"/>
        <v>-0.004072167863808602</v>
      </c>
      <c r="I24" s="56">
        <f t="shared" si="5"/>
        <v>0.022946438945044834</v>
      </c>
    </row>
    <row r="25" spans="1:9" ht="11.25">
      <c r="A25" s="52" t="s">
        <v>67</v>
      </c>
      <c r="B25" s="53">
        <v>10.130088475986048</v>
      </c>
      <c r="C25" s="63">
        <f t="shared" si="0"/>
        <v>0.04749404202378216</v>
      </c>
      <c r="D25" s="64">
        <f t="shared" si="1"/>
        <v>0.004710498109871698</v>
      </c>
      <c r="E25" s="56">
        <f t="shared" si="2"/>
        <v>0.00022530378090440952</v>
      </c>
      <c r="F25" s="5">
        <v>358.44</v>
      </c>
      <c r="G25" s="65">
        <f t="shared" si="3"/>
        <v>6.259999999999991</v>
      </c>
      <c r="H25" s="64">
        <f t="shared" si="4"/>
        <v>0.01777500141972852</v>
      </c>
      <c r="I25" s="56">
        <f t="shared" si="5"/>
        <v>0.04112931334959924</v>
      </c>
    </row>
    <row r="26" spans="1:9" ht="11.25">
      <c r="A26" s="52" t="s">
        <v>68</v>
      </c>
      <c r="B26" s="53">
        <v>10.219440166353635</v>
      </c>
      <c r="C26" s="63">
        <f t="shared" si="0"/>
        <v>0.08935169036758772</v>
      </c>
      <c r="D26" s="64">
        <f t="shared" si="1"/>
        <v>0.008820425466115226</v>
      </c>
      <c r="E26" s="56">
        <f t="shared" si="2"/>
        <v>0.009047716522226338</v>
      </c>
      <c r="F26" s="5">
        <v>362.59</v>
      </c>
      <c r="G26" s="65">
        <f t="shared" si="3"/>
        <v>4.149999999999977</v>
      </c>
      <c r="H26" s="64">
        <f t="shared" si="4"/>
        <v>0.01157794888963279</v>
      </c>
      <c r="I26" s="56">
        <f t="shared" si="5"/>
        <v>0.053183455327059384</v>
      </c>
    </row>
    <row r="27" spans="1:9" ht="11.25">
      <c r="A27" s="52" t="s">
        <v>69</v>
      </c>
      <c r="B27" s="53">
        <v>10.219440166353635</v>
      </c>
      <c r="C27" s="63">
        <f t="shared" si="0"/>
        <v>0</v>
      </c>
      <c r="D27" s="64">
        <f t="shared" si="1"/>
        <v>0</v>
      </c>
      <c r="E27" s="56">
        <f t="shared" si="2"/>
        <v>0.009047716522226338</v>
      </c>
      <c r="F27" s="5">
        <v>364.53</v>
      </c>
      <c r="G27" s="65">
        <f t="shared" si="3"/>
        <v>1.9399999999999977</v>
      </c>
      <c r="H27" s="64">
        <f t="shared" si="4"/>
        <v>0.005350395763810359</v>
      </c>
      <c r="I27" s="56">
        <f t="shared" si="5"/>
        <v>0.05881840362495643</v>
      </c>
    </row>
    <row r="28" spans="1:9" ht="11.25">
      <c r="A28" s="52" t="s">
        <v>71</v>
      </c>
      <c r="B28" s="53">
        <v>10.192638683928092</v>
      </c>
      <c r="C28" s="63">
        <f t="shared" si="0"/>
        <v>-0.02680148242554381</v>
      </c>
      <c r="D28" s="64">
        <f t="shared" si="1"/>
        <v>-0.002622597910381108</v>
      </c>
      <c r="E28" s="56">
        <f t="shared" si="2"/>
        <v>0.006401390089400318</v>
      </c>
      <c r="F28" s="5">
        <v>361.21</v>
      </c>
      <c r="G28" s="65">
        <f t="shared" si="3"/>
        <v>-3.319999999999993</v>
      </c>
      <c r="H28" s="64">
        <f t="shared" si="4"/>
        <v>-0.009107618028694465</v>
      </c>
      <c r="I28" s="56">
        <f t="shared" si="5"/>
        <v>0.04917509004298829</v>
      </c>
    </row>
    <row r="29" spans="1:9" ht="11.25">
      <c r="A29" s="52" t="s">
        <v>72</v>
      </c>
      <c r="B29" s="53">
        <v>10.162453548430372</v>
      </c>
      <c r="C29" s="63">
        <f t="shared" si="0"/>
        <v>-0.030185135497719173</v>
      </c>
      <c r="D29" s="64">
        <f t="shared" si="1"/>
        <v>-0.0029614642914121496</v>
      </c>
      <c r="E29" s="56">
        <f t="shared" si="2"/>
        <v>0.003420968309823009</v>
      </c>
      <c r="F29" s="5">
        <v>361.35</v>
      </c>
      <c r="G29" s="65">
        <f t="shared" si="3"/>
        <v>0.1400000000000432</v>
      </c>
      <c r="H29" s="64">
        <f t="shared" si="4"/>
        <v>0.00038758616871084194</v>
      </c>
      <c r="I29" s="56">
        <f t="shared" si="5"/>
        <v>0.049581735796444905</v>
      </c>
    </row>
    <row r="30" spans="1:9" ht="11.25">
      <c r="A30" s="52" t="s">
        <v>74</v>
      </c>
      <c r="B30" s="53">
        <v>10.132268412932653</v>
      </c>
      <c r="C30" s="63">
        <f t="shared" si="0"/>
        <v>-0.030185135497719173</v>
      </c>
      <c r="D30" s="64">
        <f t="shared" si="1"/>
        <v>-0.0029702606121512235</v>
      </c>
      <c r="E30" s="56">
        <f t="shared" si="2"/>
        <v>0.00044054653024570086</v>
      </c>
      <c r="F30" s="5">
        <v>364.29</v>
      </c>
      <c r="G30" s="65">
        <f t="shared" si="3"/>
        <v>2.9399999999999977</v>
      </c>
      <c r="H30" s="64">
        <f t="shared" si="4"/>
        <v>0.008136156081361553</v>
      </c>
      <c r="I30" s="56">
        <f t="shared" si="5"/>
        <v>0.05812129661903116</v>
      </c>
    </row>
    <row r="31" spans="1:9" ht="11.25">
      <c r="A31" s="52" t="s">
        <v>75</v>
      </c>
      <c r="B31" s="53">
        <v>10.270685919931246</v>
      </c>
      <c r="C31" s="63">
        <f t="shared" si="0"/>
        <v>0.1384175069985929</v>
      </c>
      <c r="D31" s="64">
        <f t="shared" si="1"/>
        <v>0.013661058053092945</v>
      </c>
      <c r="E31" s="56">
        <f t="shared" si="2"/>
        <v>0.014107622915063421</v>
      </c>
      <c r="F31" s="5">
        <v>364.9</v>
      </c>
      <c r="G31" s="65">
        <f t="shared" si="3"/>
        <v>0.6099999999999568</v>
      </c>
      <c r="H31" s="64">
        <f t="shared" si="4"/>
        <v>0.001674490104037873</v>
      </c>
      <c r="I31" s="56">
        <f t="shared" si="5"/>
        <v>0.059893110259091456</v>
      </c>
    </row>
    <row r="32" spans="1:9" ht="11.25">
      <c r="A32" s="52" t="s">
        <v>76</v>
      </c>
      <c r="B32" s="53">
        <v>10.270685919931246</v>
      </c>
      <c r="C32" s="63">
        <f t="shared" si="0"/>
        <v>0</v>
      </c>
      <c r="D32" s="64">
        <f t="shared" si="1"/>
        <v>0</v>
      </c>
      <c r="E32" s="56">
        <f t="shared" si="2"/>
        <v>0.014107622915063421</v>
      </c>
      <c r="F32" s="5">
        <v>366.67</v>
      </c>
      <c r="G32" s="65">
        <f t="shared" si="3"/>
        <v>1.7700000000000387</v>
      </c>
      <c r="H32" s="64">
        <f t="shared" si="4"/>
        <v>0.004850644012058205</v>
      </c>
      <c r="I32" s="56">
        <f t="shared" si="5"/>
        <v>0.06503427442779146</v>
      </c>
    </row>
    <row r="33" spans="1:9" ht="11.25">
      <c r="A33" s="52" t="s">
        <v>77</v>
      </c>
      <c r="B33" s="53">
        <v>10.14177379502972</v>
      </c>
      <c r="C33" s="63">
        <f t="shared" si="0"/>
        <v>-0.12891212490152526</v>
      </c>
      <c r="D33" s="64">
        <f t="shared" si="1"/>
        <v>-0.012551462084081354</v>
      </c>
      <c r="E33" s="56">
        <f t="shared" si="2"/>
        <v>0.0013790895368671313</v>
      </c>
      <c r="F33" s="5">
        <v>364.19</v>
      </c>
      <c r="G33" s="65">
        <f t="shared" si="3"/>
        <v>-2.480000000000018</v>
      </c>
      <c r="H33" s="64">
        <f t="shared" si="4"/>
        <v>-0.006763574876592081</v>
      </c>
      <c r="I33" s="56">
        <f t="shared" si="5"/>
        <v>0.05783083536656218</v>
      </c>
    </row>
    <row r="34" spans="1:9" ht="11.25">
      <c r="A34" s="52" t="s">
        <v>78</v>
      </c>
      <c r="B34" s="53">
        <v>10.10954576380434</v>
      </c>
      <c r="C34" s="63">
        <f t="shared" si="0"/>
        <v>-0.032228031225381315</v>
      </c>
      <c r="D34" s="64">
        <f t="shared" si="1"/>
        <v>-0.003177750941474915</v>
      </c>
      <c r="E34" s="56">
        <f t="shared" si="2"/>
        <v>-0.0018030438076819413</v>
      </c>
      <c r="F34" s="5">
        <v>364.94</v>
      </c>
      <c r="G34" s="65">
        <f t="shared" si="3"/>
        <v>0.75</v>
      </c>
      <c r="H34" s="64">
        <f t="shared" si="4"/>
        <v>0.002059364617370054</v>
      </c>
      <c r="I34" s="56">
        <f t="shared" si="5"/>
        <v>0.06000929476007908</v>
      </c>
    </row>
    <row r="35" spans="1:9" ht="11.25">
      <c r="A35" s="52" t="s">
        <v>79</v>
      </c>
      <c r="B35" s="53">
        <v>10.088060409654085</v>
      </c>
      <c r="C35" s="63">
        <f t="shared" si="0"/>
        <v>-0.02148535415025421</v>
      </c>
      <c r="D35" s="64">
        <f t="shared" si="1"/>
        <v>-0.0021252541560451894</v>
      </c>
      <c r="E35" s="56">
        <f t="shared" si="2"/>
        <v>-0.003924466037381323</v>
      </c>
      <c r="F35" s="5">
        <v>365.09</v>
      </c>
      <c r="G35" s="65">
        <f t="shared" si="3"/>
        <v>0.14999999999997726</v>
      </c>
      <c r="H35" s="64">
        <f t="shared" si="4"/>
        <v>0.00041102647010461246</v>
      </c>
      <c r="I35" s="56">
        <f t="shared" si="5"/>
        <v>0.0604449866387824</v>
      </c>
    </row>
    <row r="36" spans="1:9" ht="11.25">
      <c r="A36" s="52" t="s">
        <v>80</v>
      </c>
      <c r="B36" s="53">
        <v>10.055832378428704</v>
      </c>
      <c r="C36" s="63">
        <f t="shared" si="0"/>
        <v>-0.032228031225381315</v>
      </c>
      <c r="D36" s="64">
        <f t="shared" si="1"/>
        <v>-0.003194670721295413</v>
      </c>
      <c r="E36" s="56">
        <f t="shared" si="2"/>
        <v>-0.007106599381930395</v>
      </c>
      <c r="F36" s="5">
        <v>365.35</v>
      </c>
      <c r="G36" s="65">
        <f t="shared" si="3"/>
        <v>0.26000000000004775</v>
      </c>
      <c r="H36" s="64">
        <f t="shared" si="4"/>
        <v>0.0007121531677122019</v>
      </c>
      <c r="I36" s="56">
        <f t="shared" si="5"/>
        <v>0.06120018589520173</v>
      </c>
    </row>
    <row r="37" spans="1:9" ht="11.25">
      <c r="A37" s="52" t="s">
        <v>82</v>
      </c>
      <c r="B37" s="53">
        <v>10.145985282532406</v>
      </c>
      <c r="C37" s="63">
        <f t="shared" si="0"/>
        <v>0.09015290410370191</v>
      </c>
      <c r="D37" s="64">
        <f t="shared" si="1"/>
        <v>0.008965235368987818</v>
      </c>
      <c r="E37" s="56">
        <f t="shared" si="2"/>
        <v>0.0017949236509253136</v>
      </c>
      <c r="F37" s="5">
        <v>365.46</v>
      </c>
      <c r="G37" s="65">
        <f t="shared" si="3"/>
        <v>0.1099999999999568</v>
      </c>
      <c r="H37" s="64">
        <f t="shared" si="4"/>
        <v>0.00030108115505667656</v>
      </c>
      <c r="I37" s="56">
        <f t="shared" si="5"/>
        <v>0.06151969327291742</v>
      </c>
    </row>
    <row r="38" spans="1:9" ht="11.25">
      <c r="A38" s="52" t="s">
        <v>83</v>
      </c>
      <c r="B38" s="53">
        <v>10.221184022058296</v>
      </c>
      <c r="C38" s="63">
        <f t="shared" si="0"/>
        <v>0.07519873952588974</v>
      </c>
      <c r="D38" s="64">
        <f t="shared" si="1"/>
        <v>0.007411674414248743</v>
      </c>
      <c r="E38" s="56">
        <f t="shared" si="2"/>
        <v>0.009219901454873149</v>
      </c>
      <c r="F38" s="5">
        <v>361.46</v>
      </c>
      <c r="G38" s="65">
        <f t="shared" si="3"/>
        <v>-4</v>
      </c>
      <c r="H38" s="64">
        <f t="shared" si="4"/>
        <v>-0.01094511027198599</v>
      </c>
      <c r="I38" s="56">
        <f t="shared" si="5"/>
        <v>0.049901243174160594</v>
      </c>
    </row>
    <row r="39" spans="1:9" ht="11.25">
      <c r="A39" s="52" t="s">
        <v>84</v>
      </c>
      <c r="B39" s="53">
        <v>10.163889744324285</v>
      </c>
      <c r="C39" s="63">
        <f t="shared" si="0"/>
        <v>-0.057294277734010635</v>
      </c>
      <c r="D39" s="64">
        <f t="shared" si="1"/>
        <v>-0.00560544430179166</v>
      </c>
      <c r="E39" s="56">
        <f t="shared" si="2"/>
        <v>0.00356277550900819</v>
      </c>
      <c r="F39" s="5">
        <v>356.2</v>
      </c>
      <c r="G39" s="65">
        <f t="shared" si="3"/>
        <v>-5.259999999999991</v>
      </c>
      <c r="H39" s="64">
        <f t="shared" si="4"/>
        <v>-0.01455209428429146</v>
      </c>
      <c r="I39" s="56">
        <f t="shared" si="5"/>
        <v>0.03462298129429539</v>
      </c>
    </row>
    <row r="40" spans="1:9" ht="11.25">
      <c r="A40" s="52" t="s">
        <v>85</v>
      </c>
      <c r="B40" s="53">
        <v>10.104805020411085</v>
      </c>
      <c r="C40" s="63">
        <f t="shared" si="0"/>
        <v>-0.059084723913199966</v>
      </c>
      <c r="D40" s="64">
        <f t="shared" si="1"/>
        <v>-0.00581320000506637</v>
      </c>
      <c r="E40" s="56">
        <f t="shared" si="2"/>
        <v>-0.0022711356226651973</v>
      </c>
      <c r="F40" s="5">
        <v>353.93</v>
      </c>
      <c r="G40" s="65">
        <f t="shared" si="3"/>
        <v>-2.269999999999982</v>
      </c>
      <c r="H40" s="64">
        <f t="shared" si="4"/>
        <v>-0.006372824256035884</v>
      </c>
      <c r="I40" s="56">
        <f t="shared" si="5"/>
        <v>0.028029510863250943</v>
      </c>
    </row>
    <row r="41" spans="1:9" ht="11.25">
      <c r="A41" s="52" t="s">
        <v>86</v>
      </c>
      <c r="B41" s="53">
        <v>10.137721585619136</v>
      </c>
      <c r="C41" s="63">
        <f t="shared" si="0"/>
        <v>0.032916565208051196</v>
      </c>
      <c r="D41" s="64">
        <f t="shared" si="1"/>
        <v>0.0032575161164972266</v>
      </c>
      <c r="E41" s="56">
        <f t="shared" si="2"/>
        <v>0.0009789822329384465</v>
      </c>
      <c r="F41" s="5">
        <v>352.83</v>
      </c>
      <c r="G41" s="65">
        <f t="shared" si="3"/>
        <v>-1.1000000000000227</v>
      </c>
      <c r="H41" s="64">
        <f t="shared" si="4"/>
        <v>-0.0031079592009720077</v>
      </c>
      <c r="I41" s="56">
        <f t="shared" si="5"/>
        <v>0.024834437086092752</v>
      </c>
    </row>
    <row r="42" spans="1:9" ht="11.25">
      <c r="A42" s="52" t="s">
        <v>91</v>
      </c>
      <c r="B42" s="53">
        <v>10.154002843228533</v>
      </c>
      <c r="C42" s="63">
        <f t="shared" si="0"/>
        <v>0.01628125760939625</v>
      </c>
      <c r="D42" s="64">
        <f t="shared" si="1"/>
        <v>0.00160600757003349</v>
      </c>
      <c r="E42" s="56">
        <f t="shared" si="2"/>
        <v>0.002586562055848964</v>
      </c>
      <c r="F42" s="5">
        <v>350.62</v>
      </c>
      <c r="G42" s="65">
        <f t="shared" si="3"/>
        <v>-2.2099999999999795</v>
      </c>
      <c r="H42" s="64">
        <f t="shared" si="4"/>
        <v>-0.00626363971317626</v>
      </c>
      <c r="I42" s="56">
        <f t="shared" si="5"/>
        <v>0.018415243406529662</v>
      </c>
    </row>
    <row r="43" spans="1:9" ht="11.25">
      <c r="A43" s="52" t="s">
        <v>93</v>
      </c>
      <c r="B43" s="53">
        <v>10.1590365036167</v>
      </c>
      <c r="C43" s="63">
        <f t="shared" si="0"/>
        <v>0.005033660388168215</v>
      </c>
      <c r="D43" s="64">
        <f t="shared" si="1"/>
        <v>0.0004957316307553574</v>
      </c>
      <c r="E43" s="56">
        <f t="shared" si="2"/>
        <v>0.003083575927230317</v>
      </c>
      <c r="F43" s="5">
        <v>350.25</v>
      </c>
      <c r="G43" s="65">
        <f t="shared" si="3"/>
        <v>-0.37000000000000455</v>
      </c>
      <c r="H43" s="64">
        <f t="shared" si="4"/>
        <v>-0.0010552735154868648</v>
      </c>
      <c r="I43" s="56">
        <f t="shared" si="5"/>
        <v>0.017340536772394645</v>
      </c>
    </row>
    <row r="44" spans="1:9" ht="11.25">
      <c r="A44" s="52" t="s">
        <v>95</v>
      </c>
      <c r="B44" s="53">
        <v>10.13509895437943</v>
      </c>
      <c r="C44" s="63">
        <f t="shared" si="0"/>
        <v>-0.023937549237270872</v>
      </c>
      <c r="D44" s="64">
        <f t="shared" si="1"/>
        <v>-0.0023562814474334163</v>
      </c>
      <c r="E44" s="56">
        <f t="shared" si="2"/>
        <v>0.0007200287070478159</v>
      </c>
      <c r="F44" s="5">
        <v>350.01</v>
      </c>
      <c r="G44" s="65">
        <f t="shared" si="3"/>
        <v>-0.2400000000000091</v>
      </c>
      <c r="H44" s="64">
        <f t="shared" si="4"/>
        <v>-0.0006852248394004542</v>
      </c>
      <c r="I44" s="56">
        <f t="shared" si="5"/>
        <v>0.01664342976646921</v>
      </c>
    </row>
    <row r="45" spans="1:9" ht="11.25">
      <c r="A45" s="52" t="s">
        <v>97</v>
      </c>
      <c r="B45" s="53">
        <v>10.135046540650999</v>
      </c>
      <c r="C45" s="63">
        <f t="shared" si="0"/>
        <v>-5.241372843123315E-05</v>
      </c>
      <c r="D45" s="64">
        <f t="shared" si="1"/>
        <v>-5.171506333303722E-06</v>
      </c>
      <c r="E45" s="56">
        <f t="shared" si="2"/>
        <v>0.0007148534770814936</v>
      </c>
      <c r="F45" s="5">
        <v>350.55</v>
      </c>
      <c r="G45" s="65">
        <f t="shared" si="3"/>
        <v>0.5400000000000205</v>
      </c>
      <c r="H45" s="64">
        <f t="shared" si="4"/>
        <v>0.0015428130624839875</v>
      </c>
      <c r="I45" s="56">
        <f t="shared" si="5"/>
        <v>0.01821192052980144</v>
      </c>
    </row>
    <row r="46" spans="1:9" ht="11.25">
      <c r="A46" s="52" t="s">
        <v>101</v>
      </c>
      <c r="B46" s="53">
        <v>10.149207130345934</v>
      </c>
      <c r="C46" s="63">
        <f t="shared" si="0"/>
        <v>0.014160589694935055</v>
      </c>
      <c r="D46" s="64">
        <f t="shared" si="1"/>
        <v>0.001397190396525351</v>
      </c>
      <c r="E46" s="56">
        <f t="shared" si="2"/>
        <v>0.0021130426600199453</v>
      </c>
      <c r="F46" s="5">
        <v>350.93</v>
      </c>
      <c r="G46" s="65">
        <f t="shared" si="3"/>
        <v>0.37999999999999545</v>
      </c>
      <c r="H46" s="64">
        <f t="shared" si="4"/>
        <v>0.001084010840108388</v>
      </c>
      <c r="I46" s="56">
        <f t="shared" si="5"/>
        <v>0.019315673289183325</v>
      </c>
    </row>
    <row r="47" spans="1:9" ht="11.25">
      <c r="A47" s="52" t="s">
        <v>103</v>
      </c>
      <c r="B47" s="53">
        <v>10.42411838417749</v>
      </c>
      <c r="C47" s="63">
        <f t="shared" si="0"/>
        <v>0.2749112538315561</v>
      </c>
      <c r="D47" s="64">
        <f t="shared" si="1"/>
        <v>0.02708696849920195</v>
      </c>
      <c r="E47" s="56">
        <f t="shared" si="2"/>
        <v>0.029257247079191327</v>
      </c>
      <c r="F47" s="5">
        <v>353.41</v>
      </c>
      <c r="G47" s="65">
        <f t="shared" si="3"/>
        <v>2.480000000000018</v>
      </c>
      <c r="H47" s="64">
        <f t="shared" si="4"/>
        <v>0.0070669364260679286</v>
      </c>
      <c r="I47" s="56">
        <f t="shared" si="5"/>
        <v>0.02651911235041261</v>
      </c>
    </row>
    <row r="48" spans="1:9" ht="11.25">
      <c r="A48" s="52" t="s">
        <v>105</v>
      </c>
      <c r="B48" s="53">
        <v>10.70300762662385</v>
      </c>
      <c r="C48" s="63">
        <f t="shared" si="0"/>
        <v>0.2788892424463594</v>
      </c>
      <c r="D48" s="64">
        <f t="shared" si="1"/>
        <v>0.026754228239548625</v>
      </c>
      <c r="E48" s="56">
        <f t="shared" si="2"/>
        <v>0.056794230384757505</v>
      </c>
      <c r="F48" s="5">
        <v>355.36</v>
      </c>
      <c r="G48" s="65">
        <f t="shared" si="3"/>
        <v>1.9499999999999886</v>
      </c>
      <c r="H48" s="64">
        <f t="shared" si="4"/>
        <v>0.005517670694094645</v>
      </c>
      <c r="I48" s="56">
        <f t="shared" si="5"/>
        <v>0.03218310677355653</v>
      </c>
    </row>
    <row r="49" spans="1:9" ht="11.25">
      <c r="A49" s="52" t="s">
        <v>107</v>
      </c>
      <c r="B49" s="53">
        <v>10.706784943803823</v>
      </c>
      <c r="C49" s="63">
        <f t="shared" si="0"/>
        <v>0.0037773171799742045</v>
      </c>
      <c r="D49" s="64">
        <f t="shared" si="1"/>
        <v>0.00035292109580283644</v>
      </c>
      <c r="E49" s="56">
        <f t="shared" si="2"/>
        <v>0.05716719536258301</v>
      </c>
      <c r="F49" s="5">
        <v>356.48</v>
      </c>
      <c r="G49" s="65">
        <f t="shared" si="3"/>
        <v>1.1200000000000045</v>
      </c>
      <c r="H49" s="64">
        <f t="shared" si="4"/>
        <v>0.003151733453399382</v>
      </c>
      <c r="I49" s="56">
        <f t="shared" si="5"/>
        <v>0.03543627280120845</v>
      </c>
    </row>
    <row r="50" spans="1:9" ht="11.25">
      <c r="A50" s="52" t="s">
        <v>108</v>
      </c>
      <c r="B50" s="53">
        <v>10.690363983360092</v>
      </c>
      <c r="C50" s="63">
        <f t="shared" si="0"/>
        <v>-0.016420960443731758</v>
      </c>
      <c r="D50" s="64">
        <f t="shared" si="1"/>
        <v>-0.0015336966727098422</v>
      </c>
      <c r="E50" s="56">
        <f t="shared" si="2"/>
        <v>0.05554582155255742</v>
      </c>
      <c r="F50" s="5">
        <v>351.52</v>
      </c>
      <c r="G50" s="65">
        <f t="shared" si="3"/>
        <v>-4.960000000000036</v>
      </c>
      <c r="H50" s="64">
        <f t="shared" si="4"/>
        <v>-0.01391382405745073</v>
      </c>
      <c r="I50" s="56">
        <f t="shared" si="5"/>
        <v>0.021029394678749883</v>
      </c>
    </row>
    <row r="51" spans="1:9" ht="11.25">
      <c r="A51" s="52" t="s">
        <v>110</v>
      </c>
      <c r="B51" s="53">
        <v>10.706723930813018</v>
      </c>
      <c r="C51" s="63">
        <f t="shared" si="0"/>
        <v>0.01635994745292635</v>
      </c>
      <c r="D51" s="64">
        <f t="shared" si="1"/>
        <v>0.0015303452228933602</v>
      </c>
      <c r="E51" s="56">
        <f t="shared" si="2"/>
        <v>0.05716117105811542</v>
      </c>
      <c r="F51" s="5">
        <v>357.23</v>
      </c>
      <c r="G51" s="65">
        <f t="shared" si="3"/>
        <v>5.710000000000036</v>
      </c>
      <c r="H51" s="64">
        <f t="shared" si="4"/>
        <v>0.01624374146563506</v>
      </c>
      <c r="I51" s="56">
        <f t="shared" si="5"/>
        <v>0.03761473219472536</v>
      </c>
    </row>
    <row r="52" spans="1:9" ht="11.25">
      <c r="A52" s="52" t="s">
        <v>111</v>
      </c>
      <c r="B52" s="53">
        <v>10.743214954021308</v>
      </c>
      <c r="C52" s="63">
        <f t="shared" si="0"/>
        <v>0.03649102320829023</v>
      </c>
      <c r="D52" s="64">
        <f t="shared" si="1"/>
        <v>0.0034082342501866743</v>
      </c>
      <c r="E52" s="56">
        <f t="shared" si="2"/>
        <v>0.060764223969283146</v>
      </c>
      <c r="F52" s="5">
        <v>364.15</v>
      </c>
      <c r="G52" s="65">
        <f t="shared" si="3"/>
        <v>6.919999999999959</v>
      </c>
      <c r="H52" s="64">
        <f t="shared" si="4"/>
        <v>0.019371273409288018</v>
      </c>
      <c r="I52" s="56">
        <f t="shared" si="5"/>
        <v>0.05771465086557455</v>
      </c>
    </row>
    <row r="53" spans="1:9" ht="11.25">
      <c r="A53" s="52" t="s">
        <v>113</v>
      </c>
      <c r="B53" s="53">
        <v>10.656422150051087</v>
      </c>
      <c r="C53" s="63">
        <f t="shared" si="0"/>
        <v>-0.08679280397022104</v>
      </c>
      <c r="D53" s="64">
        <f t="shared" si="1"/>
        <v>-0.008078848309530798</v>
      </c>
      <c r="E53" s="56">
        <f t="shared" si="2"/>
        <v>0.05219447071165815</v>
      </c>
      <c r="F53" s="5">
        <v>365.51</v>
      </c>
      <c r="G53" s="65">
        <f t="shared" si="3"/>
        <v>1.3600000000000136</v>
      </c>
      <c r="H53" s="64">
        <f t="shared" si="4"/>
        <v>0.0037347247013593677</v>
      </c>
      <c r="I53" s="56">
        <f t="shared" si="5"/>
        <v>0.06166492389915191</v>
      </c>
    </row>
    <row r="54" spans="1:9" ht="11.25">
      <c r="A54" s="52" t="s">
        <v>115</v>
      </c>
      <c r="B54" s="53">
        <v>10.242548846883667</v>
      </c>
      <c r="C54" s="63">
        <f t="shared" si="0"/>
        <v>-0.41387330316742066</v>
      </c>
      <c r="D54" s="64">
        <f t="shared" si="1"/>
        <v>-0.03883792302329507</v>
      </c>
      <c r="E54" s="56">
        <f t="shared" si="2"/>
        <v>0.011329422852622072</v>
      </c>
      <c r="F54" s="5">
        <v>360.41</v>
      </c>
      <c r="G54" s="65">
        <f t="shared" si="3"/>
        <v>-5.099999999999966</v>
      </c>
      <c r="H54" s="64">
        <f t="shared" si="4"/>
        <v>-0.013953106618149889</v>
      </c>
      <c r="I54" s="56">
        <f t="shared" si="5"/>
        <v>0.04685140002323705</v>
      </c>
    </row>
    <row r="55" spans="1:9" ht="11.25">
      <c r="A55" s="52" t="s">
        <v>116</v>
      </c>
      <c r="B55" s="53">
        <v>10.144023084221281</v>
      </c>
      <c r="C55" s="63">
        <f t="shared" si="0"/>
        <v>-0.09852576266238522</v>
      </c>
      <c r="D55" s="64">
        <f t="shared" si="1"/>
        <v>-0.009619262171482058</v>
      </c>
      <c r="E55" s="56">
        <f t="shared" si="2"/>
        <v>0.0016011799924690638</v>
      </c>
      <c r="F55" s="5">
        <v>358.76</v>
      </c>
      <c r="G55" s="65">
        <f t="shared" si="3"/>
        <v>-1.650000000000034</v>
      </c>
      <c r="H55" s="64">
        <f t="shared" si="4"/>
        <v>-0.004578119364057696</v>
      </c>
      <c r="I55" s="56">
        <f t="shared" si="5"/>
        <v>0.042058789357499765</v>
      </c>
    </row>
    <row r="56" spans="1:9" ht="11.25">
      <c r="A56" s="52" t="s">
        <v>118</v>
      </c>
      <c r="B56" s="53">
        <v>10.338933729916613</v>
      </c>
      <c r="C56" s="63">
        <f t="shared" si="0"/>
        <v>0.194910645695332</v>
      </c>
      <c r="D56" s="64">
        <f t="shared" si="1"/>
        <v>0.019214333807906013</v>
      </c>
      <c r="E56" s="56">
        <f t="shared" si="2"/>
        <v>0.02084627940723692</v>
      </c>
      <c r="F56" s="5">
        <v>360.37</v>
      </c>
      <c r="G56" s="65">
        <f t="shared" si="3"/>
        <v>1.6100000000000136</v>
      </c>
      <c r="H56" s="64">
        <f t="shared" si="4"/>
        <v>0.00448767978592935</v>
      </c>
      <c r="I56" s="56">
        <f t="shared" si="5"/>
        <v>0.04673521552224943</v>
      </c>
    </row>
    <row r="57" spans="1:9" ht="11.25">
      <c r="A57" s="52" t="s">
        <v>121</v>
      </c>
      <c r="B57" s="53">
        <v>10.740784960341673</v>
      </c>
      <c r="C57" s="63">
        <f t="shared" si="0"/>
        <v>0.4018512304250592</v>
      </c>
      <c r="D57" s="64">
        <f t="shared" si="1"/>
        <v>0.038867763438918984</v>
      </c>
      <c r="E57" s="56">
        <f t="shared" si="2"/>
        <v>0.06052429110273799</v>
      </c>
      <c r="F57" s="5">
        <v>364.05</v>
      </c>
      <c r="G57" s="65">
        <f t="shared" si="3"/>
        <v>3.680000000000007</v>
      </c>
      <c r="H57" s="64">
        <f t="shared" si="4"/>
        <v>0.010211726836307148</v>
      </c>
      <c r="I57" s="56">
        <f t="shared" si="5"/>
        <v>0.057424189613105726</v>
      </c>
    </row>
    <row r="58" spans="1:9" ht="11.25">
      <c r="A58" s="52" t="s">
        <v>122</v>
      </c>
      <c r="B58" s="53">
        <v>10.993038773642466</v>
      </c>
      <c r="C58" s="63">
        <f t="shared" si="0"/>
        <v>0.25225381330079344</v>
      </c>
      <c r="D58" s="64">
        <f t="shared" si="1"/>
        <v>0.023485603168873895</v>
      </c>
      <c r="E58" s="56">
        <f t="shared" si="2"/>
        <v>0.0854313437545282</v>
      </c>
      <c r="F58" s="5">
        <v>373.33</v>
      </c>
      <c r="G58" s="65">
        <f t="shared" si="3"/>
        <v>9.279999999999973</v>
      </c>
      <c r="H58" s="64">
        <f t="shared" si="4"/>
        <v>0.025491003982969298</v>
      </c>
      <c r="I58" s="56">
        <f t="shared" si="5"/>
        <v>0.08437899384222149</v>
      </c>
    </row>
    <row r="59" spans="1:9" ht="11.25">
      <c r="A59" s="52" t="s">
        <v>123</v>
      </c>
      <c r="B59" s="53">
        <v>10.993038773642466</v>
      </c>
      <c r="C59" s="63">
        <f t="shared" si="0"/>
        <v>0</v>
      </c>
      <c r="D59" s="64">
        <f t="shared" si="1"/>
        <v>0</v>
      </c>
      <c r="E59" s="56">
        <f t="shared" si="2"/>
        <v>0.0854313437545282</v>
      </c>
      <c r="F59" s="5">
        <v>371.82</v>
      </c>
      <c r="G59" s="65">
        <f t="shared" si="3"/>
        <v>-1.509999999999991</v>
      </c>
      <c r="H59" s="64">
        <f t="shared" si="4"/>
        <v>-0.004044678970347926</v>
      </c>
      <c r="I59" s="56">
        <f t="shared" si="5"/>
        <v>0.07999302892994081</v>
      </c>
    </row>
    <row r="60" spans="1:9" ht="11.25">
      <c r="A60" s="52" t="s">
        <v>124</v>
      </c>
      <c r="B60" s="53">
        <v>10.993038773642466</v>
      </c>
      <c r="C60" s="63">
        <f t="shared" si="0"/>
        <v>0</v>
      </c>
      <c r="D60" s="64">
        <f t="shared" si="1"/>
        <v>0</v>
      </c>
      <c r="E60" s="56">
        <f t="shared" si="2"/>
        <v>0.0854313437545282</v>
      </c>
      <c r="F60" s="5">
        <v>370.48</v>
      </c>
      <c r="G60" s="65">
        <f t="shared" si="3"/>
        <v>-1.339999999999975</v>
      </c>
      <c r="H60" s="64">
        <f t="shared" si="4"/>
        <v>-0.0036038943574847374</v>
      </c>
      <c r="I60" s="56">
        <f t="shared" si="5"/>
        <v>0.07610084814685734</v>
      </c>
    </row>
    <row r="61" spans="1:9" ht="11.25">
      <c r="A61" s="52" t="s">
        <v>125</v>
      </c>
      <c r="B61" s="53">
        <v>10.993038773642466</v>
      </c>
      <c r="C61" s="63">
        <f t="shared" si="0"/>
        <v>0</v>
      </c>
      <c r="D61" s="64">
        <f t="shared" si="1"/>
        <v>0</v>
      </c>
      <c r="E61" s="56">
        <f t="shared" si="2"/>
        <v>0.0854313437545282</v>
      </c>
      <c r="F61" s="5">
        <v>367.16</v>
      </c>
      <c r="G61" s="65">
        <f t="shared" si="3"/>
        <v>-3.319999999999993</v>
      </c>
      <c r="H61" s="64">
        <f t="shared" si="4"/>
        <v>-0.008961347441157399</v>
      </c>
      <c r="I61" s="56">
        <f t="shared" si="5"/>
        <v>0.0664575345648892</v>
      </c>
    </row>
    <row r="62" spans="1:9" ht="11.25">
      <c r="A62" s="52" t="s">
        <v>126</v>
      </c>
      <c r="B62" s="53">
        <v>10.993038773642466</v>
      </c>
      <c r="C62" s="63">
        <f t="shared" si="0"/>
        <v>0</v>
      </c>
      <c r="D62" s="64">
        <f t="shared" si="1"/>
        <v>0</v>
      </c>
      <c r="E62" s="56">
        <f t="shared" si="2"/>
        <v>0.0854313437545282</v>
      </c>
      <c r="F62" s="5">
        <v>371.45</v>
      </c>
      <c r="G62" s="65">
        <f t="shared" si="3"/>
        <v>4.289999999999964</v>
      </c>
      <c r="H62" s="64">
        <f t="shared" si="4"/>
        <v>0.011684279333260604</v>
      </c>
      <c r="I62" s="56">
        <f t="shared" si="5"/>
        <v>0.0789183222958058</v>
      </c>
    </row>
    <row r="63" spans="1:9" ht="11.25">
      <c r="A63" s="52" t="s">
        <v>127</v>
      </c>
      <c r="B63" s="53">
        <v>10.993038773642466</v>
      </c>
      <c r="C63" s="63">
        <f t="shared" si="0"/>
        <v>0</v>
      </c>
      <c r="D63" s="64">
        <f t="shared" si="1"/>
        <v>0</v>
      </c>
      <c r="E63" s="56">
        <f t="shared" si="2"/>
        <v>0.0854313437545282</v>
      </c>
      <c r="F63" s="5">
        <v>375.91</v>
      </c>
      <c r="G63" s="65">
        <f t="shared" si="3"/>
        <v>4.460000000000036</v>
      </c>
      <c r="H63" s="64">
        <f t="shared" si="4"/>
        <v>0.012006999596177242</v>
      </c>
      <c r="I63" s="56">
        <f t="shared" si="5"/>
        <v>0.09187289415591976</v>
      </c>
    </row>
    <row r="64" spans="1:9" ht="11.25">
      <c r="A64" s="52" t="s">
        <v>128</v>
      </c>
      <c r="B64" s="53">
        <v>10.993038773642466</v>
      </c>
      <c r="C64" s="63">
        <f t="shared" si="0"/>
        <v>0</v>
      </c>
      <c r="D64" s="64">
        <f t="shared" si="1"/>
        <v>0</v>
      </c>
      <c r="E64" s="56">
        <f t="shared" si="2"/>
        <v>0.0854313437545282</v>
      </c>
      <c r="F64" s="5">
        <v>373.17</v>
      </c>
      <c r="G64" s="65">
        <f t="shared" si="3"/>
        <v>-2.740000000000009</v>
      </c>
      <c r="H64" s="64">
        <f t="shared" si="4"/>
        <v>-0.007288978744912369</v>
      </c>
      <c r="I64" s="56">
        <f t="shared" si="5"/>
        <v>0.0839142558382713</v>
      </c>
    </row>
    <row r="65" spans="1:9" ht="11.25">
      <c r="A65" s="52" t="s">
        <v>129</v>
      </c>
      <c r="B65" s="53">
        <v>10.993038773642466</v>
      </c>
      <c r="C65" s="63">
        <f t="shared" si="0"/>
        <v>0</v>
      </c>
      <c r="D65" s="64">
        <f t="shared" si="1"/>
        <v>0</v>
      </c>
      <c r="E65" s="56">
        <f t="shared" si="2"/>
        <v>0.0854313437545282</v>
      </c>
      <c r="F65" s="5">
        <v>376.56</v>
      </c>
      <c r="G65" s="65">
        <f t="shared" si="3"/>
        <v>3.3899999999999864</v>
      </c>
      <c r="H65" s="64">
        <f t="shared" si="4"/>
        <v>0.009084331537904939</v>
      </c>
      <c r="I65" s="56">
        <f t="shared" si="5"/>
        <v>0.09376089229696767</v>
      </c>
    </row>
    <row r="66" spans="1:9" ht="11.25">
      <c r="A66" s="52" t="s">
        <v>132</v>
      </c>
      <c r="B66" s="53">
        <v>11.010789943054709</v>
      </c>
      <c r="C66" s="63">
        <f t="shared" si="0"/>
        <v>0.017751169412242973</v>
      </c>
      <c r="D66" s="64">
        <f t="shared" si="1"/>
        <v>0.0016147645594413972</v>
      </c>
      <c r="E66" s="56">
        <f t="shared" si="2"/>
        <v>0.08718405982012986</v>
      </c>
      <c r="F66" s="5">
        <v>376.3</v>
      </c>
      <c r="G66" s="65">
        <f t="shared" si="3"/>
        <v>-0.2599999999999909</v>
      </c>
      <c r="H66" s="64">
        <f t="shared" si="4"/>
        <v>-0.0006904610155087925</v>
      </c>
      <c r="I66" s="56">
        <f t="shared" si="5"/>
        <v>0.09300569304054851</v>
      </c>
    </row>
    <row r="67" spans="1:9" ht="11.25">
      <c r="A67" s="52" t="s">
        <v>134</v>
      </c>
      <c r="B67" s="53">
        <v>11.239582043558853</v>
      </c>
      <c r="C67" s="63">
        <f t="shared" si="0"/>
        <v>0.228792100504144</v>
      </c>
      <c r="D67" s="64">
        <f t="shared" si="1"/>
        <v>0.020778899759908643</v>
      </c>
      <c r="E67" s="56">
        <f t="shared" si="2"/>
        <v>0.10977454841970287</v>
      </c>
      <c r="F67" s="5">
        <v>370.8</v>
      </c>
      <c r="G67" s="65">
        <f t="shared" si="3"/>
        <v>-5.5</v>
      </c>
      <c r="H67" s="64">
        <f t="shared" si="4"/>
        <v>-0.014615997874036673</v>
      </c>
      <c r="I67" s="56">
        <f t="shared" si="5"/>
        <v>0.07703032415475787</v>
      </c>
    </row>
    <row r="68" spans="1:9" ht="11.25">
      <c r="A68" s="52" t="s">
        <v>136</v>
      </c>
      <c r="B68" s="53">
        <v>11.137009445474206</v>
      </c>
      <c r="C68" s="63">
        <f t="shared" si="0"/>
        <v>-0.10257259808464703</v>
      </c>
      <c r="D68" s="64">
        <f t="shared" si="1"/>
        <v>-0.00912601533465642</v>
      </c>
      <c r="E68" s="56">
        <f aca="true" t="shared" si="6" ref="E68:E131">(B68-$B$3)/$B$3</f>
        <v>0.09964672887281326</v>
      </c>
      <c r="F68" s="5">
        <v>374.76</v>
      </c>
      <c r="G68" s="65">
        <f t="shared" si="3"/>
        <v>3.9599999999999795</v>
      </c>
      <c r="H68" s="64">
        <f t="shared" si="4"/>
        <v>0.010679611650485381</v>
      </c>
      <c r="I68" s="56">
        <f aca="true" t="shared" si="7" ref="I68:I131">(F68-$F$3)/$F$3</f>
        <v>0.08853258975252708</v>
      </c>
    </row>
    <row r="69" spans="1:9" ht="11.25">
      <c r="A69" s="52" t="s">
        <v>139</v>
      </c>
      <c r="B69" s="53">
        <v>11.150408812171763</v>
      </c>
      <c r="C69" s="63">
        <f t="shared" si="0"/>
        <v>0.013399366697557369</v>
      </c>
      <c r="D69" s="64">
        <f t="shared" si="1"/>
        <v>0.001203138666906898</v>
      </c>
      <c r="E69" s="56">
        <f t="shared" si="6"/>
        <v>0.10096975637225782</v>
      </c>
      <c r="F69" s="5">
        <v>369.69</v>
      </c>
      <c r="G69" s="65">
        <f t="shared" si="3"/>
        <v>-5.069999999999993</v>
      </c>
      <c r="H69" s="64">
        <f t="shared" si="4"/>
        <v>-0.013528658341338439</v>
      </c>
      <c r="I69" s="56">
        <f t="shared" si="7"/>
        <v>0.07380620425235282</v>
      </c>
    </row>
    <row r="70" spans="1:9" ht="11.25">
      <c r="A70" s="52" t="s">
        <v>140</v>
      </c>
      <c r="B70" s="53">
        <v>11.150408812171763</v>
      </c>
      <c r="C70" s="63">
        <f t="shared" si="0"/>
        <v>0</v>
      </c>
      <c r="D70" s="64">
        <f t="shared" si="1"/>
        <v>0</v>
      </c>
      <c r="E70" s="56">
        <f t="shared" si="6"/>
        <v>0.10096975637225782</v>
      </c>
      <c r="F70" s="5">
        <v>370.3</v>
      </c>
      <c r="G70" s="65">
        <f t="shared" si="3"/>
        <v>0.6100000000000136</v>
      </c>
      <c r="H70" s="64">
        <f t="shared" si="4"/>
        <v>0.0016500311071438601</v>
      </c>
      <c r="I70" s="56">
        <f t="shared" si="7"/>
        <v>0.07557801789241327</v>
      </c>
    </row>
    <row r="71" spans="1:9" ht="11.25">
      <c r="A71" s="52" t="s">
        <v>141</v>
      </c>
      <c r="B71" s="53">
        <v>11.169716813407476</v>
      </c>
      <c r="C71" s="63">
        <f t="shared" si="0"/>
        <v>0.019308001235712524</v>
      </c>
      <c r="D71" s="64">
        <f t="shared" si="1"/>
        <v>0.0017315958150911875</v>
      </c>
      <c r="E71" s="56">
        <f t="shared" si="6"/>
        <v>0.10287619099493399</v>
      </c>
      <c r="F71" s="5">
        <v>370.01</v>
      </c>
      <c r="G71" s="65">
        <f t="shared" si="3"/>
        <v>-0.29000000000002046</v>
      </c>
      <c r="H71" s="64">
        <f t="shared" si="4"/>
        <v>-0.0007831487982717268</v>
      </c>
      <c r="I71" s="56">
        <f t="shared" si="7"/>
        <v>0.07473568026025335</v>
      </c>
    </row>
    <row r="72" spans="1:9" ht="11.25">
      <c r="A72" s="52" t="s">
        <v>142</v>
      </c>
      <c r="B72" s="53">
        <v>11.1697168134075</v>
      </c>
      <c r="C72" s="63">
        <f t="shared" si="0"/>
        <v>2.4868995751603507E-14</v>
      </c>
      <c r="D72" s="64">
        <f aca="true" t="shared" si="8" ref="D72:D77">$C72/$B71</f>
        <v>2.2264660928334562E-15</v>
      </c>
      <c r="E72" s="56">
        <f t="shared" si="6"/>
        <v>0.10287619099493645</v>
      </c>
      <c r="F72" s="5">
        <v>372.4</v>
      </c>
      <c r="G72" s="65">
        <f t="shared" si="3"/>
        <v>2.3899999999999864</v>
      </c>
      <c r="H72" s="64">
        <f t="shared" si="4"/>
        <v>0.006459284884192283</v>
      </c>
      <c r="I72" s="56">
        <f t="shared" si="7"/>
        <v>0.0816777041942605</v>
      </c>
    </row>
    <row r="73" spans="1:9" ht="11.25">
      <c r="A73" s="52" t="s">
        <v>143</v>
      </c>
      <c r="B73" s="53">
        <v>11.1697168134075</v>
      </c>
      <c r="C73" s="63">
        <f t="shared" si="0"/>
        <v>0</v>
      </c>
      <c r="D73" s="64">
        <f t="shared" si="8"/>
        <v>0</v>
      </c>
      <c r="E73" s="56">
        <f t="shared" si="6"/>
        <v>0.10287619099493645</v>
      </c>
      <c r="F73" s="5">
        <v>373.37</v>
      </c>
      <c r="G73" s="65">
        <f t="shared" si="3"/>
        <v>0.9700000000000273</v>
      </c>
      <c r="H73" s="64">
        <f t="shared" si="4"/>
        <v>0.002604726100966776</v>
      </c>
      <c r="I73" s="56">
        <f t="shared" si="7"/>
        <v>0.08449517834320912</v>
      </c>
    </row>
    <row r="74" spans="1:9" ht="11.25">
      <c r="A74" s="52" t="s">
        <v>144</v>
      </c>
      <c r="B74" s="53">
        <v>11.150408812171763</v>
      </c>
      <c r="C74" s="63">
        <f t="shared" si="0"/>
        <v>-0.019308001235737393</v>
      </c>
      <c r="D74" s="64">
        <f t="shared" si="8"/>
        <v>-0.001728602574110129</v>
      </c>
      <c r="E74" s="56">
        <f t="shared" si="6"/>
        <v>0.10096975637225782</v>
      </c>
      <c r="F74" s="5">
        <v>373.28</v>
      </c>
      <c r="G74" s="65">
        <f t="shared" si="3"/>
        <v>-0.09000000000003183</v>
      </c>
      <c r="H74" s="64">
        <f t="shared" si="4"/>
        <v>-0.00024104775423850828</v>
      </c>
      <c r="I74" s="56">
        <f t="shared" si="7"/>
        <v>0.084233763215987</v>
      </c>
    </row>
    <row r="75" spans="1:9" ht="11.25">
      <c r="A75" s="52" t="s">
        <v>145</v>
      </c>
      <c r="B75" s="53">
        <v>11.227640817114612</v>
      </c>
      <c r="C75" s="63">
        <f t="shared" si="0"/>
        <v>0.07723200494284832</v>
      </c>
      <c r="D75" s="64">
        <f t="shared" si="8"/>
        <v>0.0069263832603645905</v>
      </c>
      <c r="E75" s="56">
        <f t="shared" si="6"/>
        <v>0.10859549486296231</v>
      </c>
      <c r="F75" s="5">
        <v>379.1</v>
      </c>
      <c r="G75" s="65">
        <f t="shared" si="3"/>
        <v>5.82000000000005</v>
      </c>
      <c r="H75" s="64">
        <f t="shared" si="4"/>
        <v>0.01559151307329632</v>
      </c>
      <c r="I75" s="56">
        <f t="shared" si="7"/>
        <v>0.10113860810967833</v>
      </c>
    </row>
    <row r="76" spans="1:9" ht="11.25">
      <c r="A76" s="52" t="s">
        <v>146</v>
      </c>
      <c r="B76" s="53">
        <v>11.189024814643188</v>
      </c>
      <c r="C76" s="63">
        <f t="shared" si="0"/>
        <v>-0.03861600247142327</v>
      </c>
      <c r="D76" s="64">
        <f t="shared" si="8"/>
        <v>-0.0034393692406475816</v>
      </c>
      <c r="E76" s="56">
        <f t="shared" si="6"/>
        <v>0.10478262561761015</v>
      </c>
      <c r="F76" s="5">
        <v>378.95</v>
      </c>
      <c r="G76" s="65">
        <f t="shared" si="3"/>
        <v>-0.1500000000000341</v>
      </c>
      <c r="H76" s="64">
        <f t="shared" si="4"/>
        <v>-0.0003956739646532158</v>
      </c>
      <c r="I76" s="56">
        <f t="shared" si="7"/>
        <v>0.10070291623097484</v>
      </c>
    </row>
    <row r="77" spans="1:9" ht="11.25">
      <c r="A77" s="52" t="s">
        <v>149</v>
      </c>
      <c r="B77" s="53">
        <v>11.166901984862529</v>
      </c>
      <c r="C77" s="63">
        <f t="shared" si="0"/>
        <v>-0.022122829780659714</v>
      </c>
      <c r="D77" s="64">
        <f t="shared" si="8"/>
        <v>-0.001977190161532875</v>
      </c>
      <c r="E77" s="56">
        <f t="shared" si="6"/>
        <v>0.10259826027960656</v>
      </c>
      <c r="F77" s="5">
        <v>375.48</v>
      </c>
      <c r="G77" s="65">
        <f t="shared" si="3"/>
        <v>-3.4699999999999704</v>
      </c>
      <c r="H77" s="64">
        <f t="shared" si="4"/>
        <v>-0.009156880854993985</v>
      </c>
      <c r="I77" s="56">
        <f t="shared" si="7"/>
        <v>0.09062391077030338</v>
      </c>
    </row>
    <row r="78" spans="1:9" ht="11.25">
      <c r="A78" s="52" t="s">
        <v>150</v>
      </c>
      <c r="B78" s="53">
        <v>11.285261338315218</v>
      </c>
      <c r="C78" s="63">
        <f t="shared" si="0"/>
        <v>0.11835935345268922</v>
      </c>
      <c r="D78" s="64">
        <f aca="true" t="shared" si="9" ref="D78:D83">$C78/$B77</f>
        <v>0.01059912172714806</v>
      </c>
      <c r="E78" s="56">
        <f t="shared" si="6"/>
        <v>0.11428483345645178</v>
      </c>
      <c r="F78" s="5">
        <v>379.14</v>
      </c>
      <c r="G78" s="65">
        <f t="shared" si="3"/>
        <v>3.659999999999968</v>
      </c>
      <c r="H78" s="64">
        <f t="shared" si="4"/>
        <v>0.009747523170341877</v>
      </c>
      <c r="I78" s="56">
        <f t="shared" si="7"/>
        <v>0.10125479261066578</v>
      </c>
    </row>
    <row r="79" spans="1:9" ht="11.25">
      <c r="A79" s="52" t="s">
        <v>155</v>
      </c>
      <c r="B79" s="53">
        <v>11.311035169836957</v>
      </c>
      <c r="C79" s="63">
        <f t="shared" si="0"/>
        <v>0.02577383152173951</v>
      </c>
      <c r="D79" s="64">
        <f t="shared" si="9"/>
        <v>0.0022838488847602796</v>
      </c>
      <c r="E79" s="56">
        <f t="shared" si="6"/>
        <v>0.11682969163064659</v>
      </c>
      <c r="F79" s="5">
        <v>380.26</v>
      </c>
      <c r="G79" s="65">
        <f t="shared" si="3"/>
        <v>1.1200000000000045</v>
      </c>
      <c r="H79" s="64">
        <f t="shared" si="4"/>
        <v>0.0029540539114838965</v>
      </c>
      <c r="I79" s="56">
        <f t="shared" si="7"/>
        <v>0.10450795863831772</v>
      </c>
    </row>
    <row r="80" spans="1:9" ht="11.25">
      <c r="A80" s="52" t="s">
        <v>156</v>
      </c>
      <c r="B80" s="53">
        <v>10.933413736413044</v>
      </c>
      <c r="C80" s="63">
        <f t="shared" si="0"/>
        <v>-0.3776214334239132</v>
      </c>
      <c r="D80" s="64">
        <f t="shared" si="9"/>
        <v>-0.033385223169574534</v>
      </c>
      <c r="E80" s="56">
        <f t="shared" si="6"/>
        <v>0.07954408313315035</v>
      </c>
      <c r="F80" s="5">
        <v>370.25</v>
      </c>
      <c r="G80" s="65">
        <f t="shared" si="3"/>
        <v>-10.009999999999991</v>
      </c>
      <c r="H80" s="64">
        <f t="shared" si="4"/>
        <v>-0.026324094040919347</v>
      </c>
      <c r="I80" s="56">
        <f t="shared" si="7"/>
        <v>0.07543278726617877</v>
      </c>
    </row>
    <row r="81" spans="1:9" ht="11.25">
      <c r="A81" s="52" t="s">
        <v>159</v>
      </c>
      <c r="B81" s="53">
        <v>10.941400699728263</v>
      </c>
      <c r="C81" s="63">
        <f t="shared" si="0"/>
        <v>0.007986963315218532</v>
      </c>
      <c r="D81" s="64">
        <f t="shared" si="9"/>
        <v>0.0007305095652438775</v>
      </c>
      <c r="E81" s="56">
        <f t="shared" si="6"/>
        <v>0.08033270041198155</v>
      </c>
      <c r="F81" s="5">
        <v>368.71</v>
      </c>
      <c r="G81" s="65">
        <f t="shared" si="3"/>
        <v>-1.5400000000000205</v>
      </c>
      <c r="H81" s="64">
        <f t="shared" si="4"/>
        <v>-0.004159351789331588</v>
      </c>
      <c r="I81" s="56">
        <f t="shared" si="7"/>
        <v>0.07095968397815734</v>
      </c>
    </row>
    <row r="82" spans="1:9" ht="11.25">
      <c r="A82" s="52" t="s">
        <v>162</v>
      </c>
      <c r="B82" s="53">
        <v>11.07400192255435</v>
      </c>
      <c r="C82" s="63">
        <f t="shared" si="0"/>
        <v>0.13260122282608755</v>
      </c>
      <c r="D82" s="64">
        <f t="shared" si="9"/>
        <v>0.012119218230384414</v>
      </c>
      <c r="E82" s="56">
        <f t="shared" si="6"/>
        <v>0.09342548816969486</v>
      </c>
      <c r="F82" s="5">
        <v>370.45</v>
      </c>
      <c r="G82" s="65">
        <f t="shared" si="3"/>
        <v>1.740000000000009</v>
      </c>
      <c r="H82" s="64">
        <f t="shared" si="4"/>
        <v>0.004719155976241516</v>
      </c>
      <c r="I82" s="56">
        <f t="shared" si="7"/>
        <v>0.07601370977111659</v>
      </c>
    </row>
    <row r="83" spans="1:9" ht="11.25">
      <c r="A83" s="52" t="s">
        <v>165</v>
      </c>
      <c r="B83" s="53">
        <v>10.956344691838241</v>
      </c>
      <c r="C83" s="63">
        <f t="shared" si="0"/>
        <v>-0.11765723071610878</v>
      </c>
      <c r="D83" s="64">
        <f t="shared" si="9"/>
        <v>-0.01062463520766391</v>
      </c>
      <c r="E83" s="56">
        <f t="shared" si="6"/>
        <v>0.08180824123113002</v>
      </c>
      <c r="F83" s="5">
        <v>371.18</v>
      </c>
      <c r="G83" s="65">
        <f t="shared" si="3"/>
        <v>0.7300000000000182</v>
      </c>
      <c r="H83" s="64">
        <f t="shared" si="4"/>
        <v>0.0019705763260899397</v>
      </c>
      <c r="I83" s="56">
        <f t="shared" si="7"/>
        <v>0.07813407691413976</v>
      </c>
    </row>
    <row r="84" spans="1:9" ht="11.25">
      <c r="A84" s="52" t="s">
        <v>166</v>
      </c>
      <c r="B84" s="53">
        <v>10.767222567232247</v>
      </c>
      <c r="C84" s="63">
        <f t="shared" si="0"/>
        <v>-0.1891221246059942</v>
      </c>
      <c r="D84" s="64">
        <f aca="true" t="shared" si="10" ref="D84:D89">$C84/$B83</f>
        <v>-0.017261425222125204</v>
      </c>
      <c r="E84" s="56">
        <f t="shared" si="6"/>
        <v>0.06313468917044009</v>
      </c>
      <c r="F84" s="5">
        <v>364.42</v>
      </c>
      <c r="G84" s="65">
        <f t="shared" si="3"/>
        <v>-6.759999999999991</v>
      </c>
      <c r="H84" s="64">
        <f t="shared" si="4"/>
        <v>-0.01821218815668945</v>
      </c>
      <c r="I84" s="56">
        <f t="shared" si="7"/>
        <v>0.05849889624724075</v>
      </c>
    </row>
    <row r="85" spans="1:9" ht="11.25">
      <c r="A85" s="52" t="s">
        <v>167</v>
      </c>
      <c r="B85" s="53">
        <v>10.667966984105696</v>
      </c>
      <c r="C85" s="63">
        <f t="shared" si="0"/>
        <v>-0.09925558312655092</v>
      </c>
      <c r="D85" s="64">
        <f t="shared" si="10"/>
        <v>-0.009218308854189955</v>
      </c>
      <c r="E85" s="56">
        <f t="shared" si="6"/>
        <v>0.053334385252063736</v>
      </c>
      <c r="F85" s="5">
        <v>359.53</v>
      </c>
      <c r="G85" s="65">
        <f t="shared" si="3"/>
        <v>-4.890000000000043</v>
      </c>
      <c r="H85" s="64">
        <f t="shared" si="4"/>
        <v>-0.01341858295373482</v>
      </c>
      <c r="I85" s="56">
        <f t="shared" si="7"/>
        <v>0.044295341001510405</v>
      </c>
    </row>
    <row r="86" spans="1:9" ht="11.25">
      <c r="A86" s="52" t="s">
        <v>169</v>
      </c>
      <c r="B86" s="53">
        <v>10.6318126953256</v>
      </c>
      <c r="C86" s="63">
        <f t="shared" si="0"/>
        <v>-0.03615428878009652</v>
      </c>
      <c r="D86" s="64">
        <f t="shared" si="10"/>
        <v>-0.0033890514316329565</v>
      </c>
      <c r="E86" s="56">
        <f t="shared" si="6"/>
        <v>0.04976458084573701</v>
      </c>
      <c r="F86" s="5">
        <v>362.09</v>
      </c>
      <c r="G86" s="65">
        <f t="shared" si="3"/>
        <v>2.5600000000000023</v>
      </c>
      <c r="H86" s="64">
        <f t="shared" si="4"/>
        <v>0.007120407198286659</v>
      </c>
      <c r="I86" s="56">
        <f t="shared" si="7"/>
        <v>0.05173114906471478</v>
      </c>
    </row>
    <row r="87" spans="1:9" ht="11.25">
      <c r="A87" s="52" t="s">
        <v>171</v>
      </c>
      <c r="B87" s="53">
        <v>10.199681677955871</v>
      </c>
      <c r="C87" s="63">
        <f t="shared" si="0"/>
        <v>-0.4321310173697288</v>
      </c>
      <c r="D87" s="64">
        <f t="shared" si="10"/>
        <v>-0.04064509315139837</v>
      </c>
      <c r="E87" s="56">
        <f t="shared" si="6"/>
        <v>0.007096801670223362</v>
      </c>
      <c r="F87" s="5">
        <v>356.76</v>
      </c>
      <c r="G87" s="65">
        <f t="shared" si="3"/>
        <v>-5.329999999999984</v>
      </c>
      <c r="H87" s="64">
        <f t="shared" si="4"/>
        <v>-0.01472009721339994</v>
      </c>
      <c r="I87" s="56">
        <f t="shared" si="7"/>
        <v>0.03624956430812135</v>
      </c>
    </row>
    <row r="88" spans="1:9" ht="11.25">
      <c r="A88" s="52" t="s">
        <v>173</v>
      </c>
      <c r="B88" s="53">
        <v>10.099036181342635</v>
      </c>
      <c r="C88" s="63">
        <f t="shared" si="0"/>
        <v>-0.10064549661323596</v>
      </c>
      <c r="D88" s="64">
        <f t="shared" si="10"/>
        <v>-0.00986751349610809</v>
      </c>
      <c r="E88" s="56">
        <f t="shared" si="6"/>
        <v>-0.0028407396121448592</v>
      </c>
      <c r="F88" s="5">
        <v>356.02</v>
      </c>
      <c r="G88" s="65">
        <f t="shared" si="3"/>
        <v>-0.7400000000000091</v>
      </c>
      <c r="H88" s="64">
        <f t="shared" si="4"/>
        <v>-0.002074223567664562</v>
      </c>
      <c r="I88" s="56">
        <f t="shared" si="7"/>
        <v>0.03410015103985131</v>
      </c>
    </row>
    <row r="89" spans="1:9" ht="11.25">
      <c r="A89" s="52" t="s">
        <v>174</v>
      </c>
      <c r="B89" s="53">
        <v>10.14726285963383</v>
      </c>
      <c r="C89" s="63">
        <f t="shared" si="0"/>
        <v>0.04822667829119531</v>
      </c>
      <c r="D89" s="64">
        <f t="shared" si="10"/>
        <v>0.004775374345156938</v>
      </c>
      <c r="E89" s="56">
        <f t="shared" si="6"/>
        <v>0.0019210691379469716</v>
      </c>
      <c r="F89" s="5">
        <v>358.89</v>
      </c>
      <c r="G89" s="65">
        <f t="shared" si="3"/>
        <v>2.8700000000000045</v>
      </c>
      <c r="H89" s="64">
        <f t="shared" si="4"/>
        <v>0.008061344868265841</v>
      </c>
      <c r="I89" s="56">
        <f t="shared" si="7"/>
        <v>0.042436388985709346</v>
      </c>
    </row>
    <row r="90" spans="1:9" ht="11.25">
      <c r="A90" s="52" t="s">
        <v>176</v>
      </c>
      <c r="B90" s="53">
        <v>10.249445263658606</v>
      </c>
      <c r="C90" s="63">
        <f t="shared" si="0"/>
        <v>0.10218240402477541</v>
      </c>
      <c r="D90" s="64">
        <f aca="true" t="shared" si="11" ref="D90:D162">$C90/$B89</f>
        <v>0.010069947476305224</v>
      </c>
      <c r="E90" s="56">
        <f t="shared" si="6"/>
        <v>0.012010361679569672</v>
      </c>
      <c r="F90" s="5">
        <v>361.32</v>
      </c>
      <c r="G90" s="65">
        <f t="shared" si="3"/>
        <v>2.430000000000007</v>
      </c>
      <c r="H90" s="64">
        <f t="shared" si="4"/>
        <v>0.006770876870350266</v>
      </c>
      <c r="I90" s="56">
        <f t="shared" si="7"/>
        <v>0.04949459742070414</v>
      </c>
    </row>
    <row r="91" spans="1:9" ht="11.25">
      <c r="A91" s="52" t="s">
        <v>178</v>
      </c>
      <c r="B91" s="53">
        <v>10.533635322098396</v>
      </c>
      <c r="C91" s="63">
        <f t="shared" si="0"/>
        <v>0.2841900584397905</v>
      </c>
      <c r="D91" s="64">
        <f t="shared" si="11"/>
        <v>0.027727359981855937</v>
      </c>
      <c r="E91" s="56">
        <f t="shared" si="6"/>
        <v>0.040070737283227326</v>
      </c>
      <c r="F91" s="5">
        <v>367.67</v>
      </c>
      <c r="G91" s="65">
        <f t="shared" si="3"/>
        <v>6.350000000000023</v>
      </c>
      <c r="H91" s="64">
        <f t="shared" si="4"/>
        <v>0.017574449241669496</v>
      </c>
      <c r="I91" s="56">
        <f t="shared" si="7"/>
        <v>0.06793888695248067</v>
      </c>
    </row>
    <row r="92" spans="1:9" ht="11.25">
      <c r="A92" s="52" t="s">
        <v>179</v>
      </c>
      <c r="B92" s="53">
        <v>10.581796896939064</v>
      </c>
      <c r="C92" s="63">
        <f t="shared" si="0"/>
        <v>0.04816157484066785</v>
      </c>
      <c r="D92" s="64">
        <f t="shared" si="11"/>
        <v>0.004572170325626351</v>
      </c>
      <c r="E92" s="56">
        <f t="shared" si="6"/>
        <v>0.04482611784478602</v>
      </c>
      <c r="F92" s="5">
        <v>364.55</v>
      </c>
      <c r="G92" s="65">
        <f t="shared" si="3"/>
        <v>-3.1200000000000045</v>
      </c>
      <c r="H92" s="64">
        <f t="shared" si="4"/>
        <v>-0.008485870481681954</v>
      </c>
      <c r="I92" s="56">
        <f t="shared" si="7"/>
        <v>0.05887649587545033</v>
      </c>
    </row>
    <row r="93" spans="1:9" ht="11.25">
      <c r="A93" s="52" t="s">
        <v>185</v>
      </c>
      <c r="B93" s="53">
        <v>10.546401755124966</v>
      </c>
      <c r="C93" s="63">
        <f t="shared" si="0"/>
        <v>-0.03539514181409764</v>
      </c>
      <c r="D93" s="64">
        <f t="shared" si="11"/>
        <v>-0.0033449084459687742</v>
      </c>
      <c r="E93" s="56">
        <f t="shared" si="6"/>
        <v>0.04133127013863823</v>
      </c>
      <c r="F93" s="5">
        <v>359.9</v>
      </c>
      <c r="G93" s="65">
        <f t="shared" si="3"/>
        <v>-4.650000000000034</v>
      </c>
      <c r="H93" s="64">
        <f t="shared" si="4"/>
        <v>-0.012755451927033421</v>
      </c>
      <c r="I93" s="56">
        <f t="shared" si="7"/>
        <v>0.04537004763564542</v>
      </c>
    </row>
    <row r="94" spans="1:9" ht="11.25">
      <c r="A94" s="52" t="s">
        <v>186</v>
      </c>
      <c r="B94" s="53">
        <v>10.499471117663578</v>
      </c>
      <c r="C94" s="63">
        <f t="shared" si="0"/>
        <v>-0.04693063746138826</v>
      </c>
      <c r="D94" s="64">
        <f t="shared" si="11"/>
        <v>-0.00444991937070694</v>
      </c>
      <c r="E94" s="56">
        <f t="shared" si="6"/>
        <v>0.03669742994832544</v>
      </c>
      <c r="F94" s="5">
        <v>358.96</v>
      </c>
      <c r="G94" s="65">
        <f t="shared" si="3"/>
        <v>-0.9399999999999977</v>
      </c>
      <c r="H94" s="64">
        <f t="shared" si="4"/>
        <v>-0.0026118366212836835</v>
      </c>
      <c r="I94" s="56">
        <f t="shared" si="7"/>
        <v>0.042639711862437576</v>
      </c>
    </row>
    <row r="95" spans="1:9" ht="11.25">
      <c r="A95" s="52" t="s">
        <v>188</v>
      </c>
      <c r="B95" s="53">
        <v>10.43069566835159</v>
      </c>
      <c r="C95" s="63">
        <f t="shared" si="0"/>
        <v>-0.06877544931198898</v>
      </c>
      <c r="D95" s="64">
        <f t="shared" si="11"/>
        <v>-0.006550372732230861</v>
      </c>
      <c r="E95" s="56">
        <f t="shared" si="6"/>
        <v>0.029906675371618115</v>
      </c>
      <c r="F95" s="5">
        <v>358.48</v>
      </c>
      <c r="G95" s="65">
        <f t="shared" si="3"/>
        <v>-0.47999999999996135</v>
      </c>
      <c r="H95" s="64">
        <f t="shared" si="4"/>
        <v>-0.0013371963449965495</v>
      </c>
      <c r="I95" s="56">
        <f t="shared" si="7"/>
        <v>0.041245497850586864</v>
      </c>
    </row>
    <row r="96" spans="1:9" ht="11.25">
      <c r="A96" s="52" t="s">
        <v>189</v>
      </c>
      <c r="B96" s="53">
        <v>10.339429170176919</v>
      </c>
      <c r="C96" s="63">
        <f t="shared" si="0"/>
        <v>-0.09126649817467047</v>
      </c>
      <c r="D96" s="64">
        <f t="shared" si="11"/>
        <v>-0.008749799733069361</v>
      </c>
      <c r="E96" s="56">
        <f t="shared" si="6"/>
        <v>0.02089519821836518</v>
      </c>
      <c r="F96" s="5">
        <v>353.29</v>
      </c>
      <c r="G96" s="65">
        <f t="shared" si="3"/>
        <v>-5.189999999999998</v>
      </c>
      <c r="H96" s="64">
        <f t="shared" si="4"/>
        <v>-0.014477795135014498</v>
      </c>
      <c r="I96" s="56">
        <f t="shared" si="7"/>
        <v>0.02617055884744989</v>
      </c>
    </row>
    <row r="97" spans="1:9" ht="11.25">
      <c r="A97" s="52" t="s">
        <v>191</v>
      </c>
      <c r="B97" s="53">
        <v>10.285915901432183</v>
      </c>
      <c r="C97" s="63">
        <f t="shared" si="0"/>
        <v>-0.0535132687447355</v>
      </c>
      <c r="D97" s="64">
        <f t="shared" si="11"/>
        <v>-0.005175650208919592</v>
      </c>
      <c r="E97" s="56">
        <f t="shared" si="6"/>
        <v>0.015611401772421289</v>
      </c>
      <c r="F97" s="5">
        <v>350.98</v>
      </c>
      <c r="G97" s="65">
        <f t="shared" si="3"/>
        <v>-2.3100000000000023</v>
      </c>
      <c r="H97" s="64">
        <f t="shared" si="4"/>
        <v>-0.006538537745195172</v>
      </c>
      <c r="I97" s="56">
        <f t="shared" si="7"/>
        <v>0.019460903915417816</v>
      </c>
    </row>
    <row r="98" spans="1:9" ht="11.25">
      <c r="A98" s="52" t="s">
        <v>192</v>
      </c>
      <c r="B98" s="53">
        <v>10.285915901432183</v>
      </c>
      <c r="C98" s="63">
        <f t="shared" si="0"/>
        <v>0</v>
      </c>
      <c r="D98" s="64">
        <f t="shared" si="11"/>
        <v>0</v>
      </c>
      <c r="E98" s="56">
        <f t="shared" si="6"/>
        <v>0.015611401772421289</v>
      </c>
      <c r="F98" s="5">
        <v>352.44</v>
      </c>
      <c r="G98" s="65">
        <f t="shared" si="3"/>
        <v>1.4599999999999795</v>
      </c>
      <c r="H98" s="64">
        <f t="shared" si="4"/>
        <v>0.004159781184112996</v>
      </c>
      <c r="I98" s="56">
        <f t="shared" si="7"/>
        <v>0.023701638201464</v>
      </c>
    </row>
    <row r="99" spans="1:9" ht="11.25">
      <c r="A99" s="52" t="s">
        <v>193</v>
      </c>
      <c r="B99" s="53">
        <v>10.285839954935312</v>
      </c>
      <c r="C99" s="63">
        <f t="shared" si="0"/>
        <v>-7.59464968709267E-05</v>
      </c>
      <c r="D99" s="64">
        <f t="shared" si="11"/>
        <v>-7.38354246706918E-06</v>
      </c>
      <c r="E99" s="56">
        <f t="shared" si="6"/>
        <v>0.015603902962506262</v>
      </c>
      <c r="F99" s="5">
        <v>353.48</v>
      </c>
      <c r="G99" s="65">
        <f t="shared" si="3"/>
        <v>1.0400000000000205</v>
      </c>
      <c r="H99" s="64">
        <f t="shared" si="4"/>
        <v>0.002950856883441211</v>
      </c>
      <c r="I99" s="56">
        <f t="shared" si="7"/>
        <v>0.026722435227140833</v>
      </c>
    </row>
    <row r="100" spans="1:9" ht="11.25">
      <c r="A100" s="52" t="s">
        <v>194</v>
      </c>
      <c r="B100" s="53">
        <v>10.285839954935312</v>
      </c>
      <c r="C100" s="63">
        <f t="shared" si="0"/>
        <v>0</v>
      </c>
      <c r="D100" s="64">
        <f t="shared" si="11"/>
        <v>0</v>
      </c>
      <c r="E100" s="56">
        <f t="shared" si="6"/>
        <v>0.015603902962506262</v>
      </c>
      <c r="F100" s="5">
        <v>358.24</v>
      </c>
      <c r="G100" s="65">
        <f t="shared" si="3"/>
        <v>4.759999999999991</v>
      </c>
      <c r="H100" s="64">
        <f t="shared" si="4"/>
        <v>0.013466108407830685</v>
      </c>
      <c r="I100" s="56">
        <f t="shared" si="7"/>
        <v>0.04054839084466143</v>
      </c>
    </row>
    <row r="101" spans="1:9" ht="11.25">
      <c r="A101" s="52" t="s">
        <v>195</v>
      </c>
      <c r="B101" s="53">
        <v>10.2858399549353</v>
      </c>
      <c r="C101" s="63">
        <f t="shared" si="0"/>
        <v>0</v>
      </c>
      <c r="D101" s="64">
        <f t="shared" si="11"/>
        <v>0</v>
      </c>
      <c r="E101" s="56">
        <f t="shared" si="6"/>
        <v>0.015603902962505033</v>
      </c>
      <c r="F101" s="5">
        <v>354.61</v>
      </c>
      <c r="G101" s="65">
        <f t="shared" si="3"/>
        <v>-3.6299999999999955</v>
      </c>
      <c r="H101" s="64">
        <f t="shared" si="4"/>
        <v>-0.01013287181777578</v>
      </c>
      <c r="I101" s="56">
        <f t="shared" si="7"/>
        <v>0.030004647380039624</v>
      </c>
    </row>
    <row r="102" spans="1:9" ht="11.25">
      <c r="A102" s="52" t="s">
        <v>196</v>
      </c>
      <c r="B102" s="53">
        <v>10.2858399549353</v>
      </c>
      <c r="C102" s="63">
        <f t="shared" si="0"/>
        <v>0</v>
      </c>
      <c r="D102" s="64">
        <f t="shared" si="11"/>
        <v>0</v>
      </c>
      <c r="E102" s="56">
        <f t="shared" si="6"/>
        <v>0.015603902962505033</v>
      </c>
      <c r="F102" s="5">
        <v>362.85</v>
      </c>
      <c r="G102" s="65">
        <f t="shared" si="3"/>
        <v>8.240000000000009</v>
      </c>
      <c r="H102" s="64">
        <f t="shared" si="4"/>
        <v>0.023236795352640956</v>
      </c>
      <c r="I102" s="56">
        <f t="shared" si="7"/>
        <v>0.05393865458347871</v>
      </c>
    </row>
    <row r="103" spans="1:9" ht="11.25">
      <c r="A103" s="52" t="s">
        <v>197</v>
      </c>
      <c r="B103" s="53">
        <v>10.2858399549353</v>
      </c>
      <c r="C103" s="63">
        <f t="shared" si="0"/>
        <v>0</v>
      </c>
      <c r="D103" s="64">
        <f t="shared" si="11"/>
        <v>0</v>
      </c>
      <c r="E103" s="56">
        <f t="shared" si="6"/>
        <v>0.015603902962505033</v>
      </c>
      <c r="F103" s="5">
        <v>361.13</v>
      </c>
      <c r="G103" s="65">
        <f t="shared" si="3"/>
        <v>-1.7200000000000273</v>
      </c>
      <c r="H103" s="64">
        <f t="shared" si="4"/>
        <v>-0.004740250792338507</v>
      </c>
      <c r="I103" s="56">
        <f t="shared" si="7"/>
        <v>0.0489427210410132</v>
      </c>
    </row>
    <row r="104" spans="1:9" ht="11.25">
      <c r="A104" s="52" t="s">
        <v>200</v>
      </c>
      <c r="B104" s="53">
        <v>10.128492956825122</v>
      </c>
      <c r="C104" s="63">
        <f t="shared" si="0"/>
        <v>-0.15734699811017805</v>
      </c>
      <c r="D104" s="64">
        <f t="shared" si="11"/>
        <v>-0.015297437914604204</v>
      </c>
      <c r="E104" s="56">
        <f t="shared" si="6"/>
        <v>6.776531110640122E-05</v>
      </c>
      <c r="F104" s="5">
        <v>364.1</v>
      </c>
      <c r="G104" s="65">
        <f t="shared" si="3"/>
        <v>2.9700000000000273</v>
      </c>
      <c r="H104" s="64">
        <f t="shared" si="4"/>
        <v>0.008224185196466722</v>
      </c>
      <c r="I104" s="56">
        <f t="shared" si="7"/>
        <v>0.057569420239340224</v>
      </c>
    </row>
    <row r="105" spans="1:9" ht="11.25">
      <c r="A105" s="52" t="s">
        <v>203</v>
      </c>
      <c r="B105" s="53">
        <v>9.931459230992877</v>
      </c>
      <c r="C105" s="63">
        <f t="shared" si="0"/>
        <v>-0.1970337258322452</v>
      </c>
      <c r="D105" s="64">
        <f t="shared" si="11"/>
        <v>-0.01945340996653143</v>
      </c>
      <c r="E105" s="56">
        <f t="shared" si="6"/>
        <v>-0.019386962921803492</v>
      </c>
      <c r="F105" s="5">
        <v>363.62</v>
      </c>
      <c r="G105" s="65">
        <f t="shared" si="3"/>
        <v>-0.4800000000000182</v>
      </c>
      <c r="H105" s="64">
        <f t="shared" si="4"/>
        <v>-0.0013183191430926069</v>
      </c>
      <c r="I105" s="56">
        <f t="shared" si="7"/>
        <v>0.05617520622748935</v>
      </c>
    </row>
    <row r="106" spans="1:9" ht="11.25">
      <c r="A106" s="52" t="s">
        <v>206</v>
      </c>
      <c r="B106" s="53">
        <v>9.33887339002762</v>
      </c>
      <c r="C106" s="63">
        <f t="shared" si="0"/>
        <v>-0.5925858409652562</v>
      </c>
      <c r="D106" s="64">
        <f t="shared" si="11"/>
        <v>-0.05966755007320447</v>
      </c>
      <c r="E106" s="56">
        <f t="shared" si="6"/>
        <v>-0.0778977404141039</v>
      </c>
      <c r="F106" s="5">
        <v>361.28</v>
      </c>
      <c r="G106" s="65">
        <f aca="true" t="shared" si="12" ref="G106:G280">$F106-$F105</f>
        <v>-2.340000000000032</v>
      </c>
      <c r="H106" s="64">
        <f aca="true" t="shared" si="13" ref="H106:H280">$G106/$F105</f>
        <v>-0.006435289588031549</v>
      </c>
      <c r="I106" s="56">
        <f t="shared" si="7"/>
        <v>0.049378412919716515</v>
      </c>
    </row>
    <row r="107" spans="1:9" ht="11.25">
      <c r="A107" s="52" t="s">
        <v>208</v>
      </c>
      <c r="B107" s="53">
        <v>9.410437880964986</v>
      </c>
      <c r="C107" s="63">
        <f t="shared" si="0"/>
        <v>0.07156449093736583</v>
      </c>
      <c r="D107" s="64">
        <f t="shared" si="11"/>
        <v>0.007663075399842655</v>
      </c>
      <c r="E107" s="56">
        <f t="shared" si="6"/>
        <v>-0.0708316012725319</v>
      </c>
      <c r="F107" s="5">
        <v>363.74</v>
      </c>
      <c r="G107" s="65">
        <f t="shared" si="12"/>
        <v>2.4600000000000364</v>
      </c>
      <c r="H107" s="64">
        <f t="shared" si="13"/>
        <v>0.006809123117803467</v>
      </c>
      <c r="I107" s="56">
        <f t="shared" si="7"/>
        <v>0.05652375973045207</v>
      </c>
    </row>
    <row r="108" spans="1:9" ht="11.25">
      <c r="A108" s="52" t="s">
        <v>209</v>
      </c>
      <c r="B108" s="53">
        <v>9.514754601830145</v>
      </c>
      <c r="C108" s="63">
        <f aca="true" t="shared" si="14" ref="C108:C280">$B108-$B107</f>
        <v>0.10431672086515853</v>
      </c>
      <c r="D108" s="64">
        <f t="shared" si="11"/>
        <v>0.011085214331648236</v>
      </c>
      <c r="E108" s="56">
        <f t="shared" si="6"/>
        <v>-0.06053157042244352</v>
      </c>
      <c r="F108" s="5">
        <v>368.14</v>
      </c>
      <c r="G108" s="65">
        <f t="shared" si="12"/>
        <v>4.399999999999977</v>
      </c>
      <c r="H108" s="64">
        <f t="shared" si="13"/>
        <v>0.012096552482542412</v>
      </c>
      <c r="I108" s="56">
        <f t="shared" si="7"/>
        <v>0.06930405483908451</v>
      </c>
    </row>
    <row r="109" spans="1:9" ht="11.25">
      <c r="A109" s="52" t="s">
        <v>210</v>
      </c>
      <c r="B109" s="53">
        <v>9.514754601830145</v>
      </c>
      <c r="C109" s="63">
        <f t="shared" si="14"/>
        <v>0</v>
      </c>
      <c r="D109" s="64">
        <f t="shared" si="11"/>
        <v>0</v>
      </c>
      <c r="E109" s="56">
        <f t="shared" si="6"/>
        <v>-0.06053157042244352</v>
      </c>
      <c r="F109" s="5">
        <v>368.94</v>
      </c>
      <c r="G109" s="65">
        <f t="shared" si="12"/>
        <v>0.8000000000000114</v>
      </c>
      <c r="H109" s="64">
        <f t="shared" si="13"/>
        <v>0.0021730863258543256</v>
      </c>
      <c r="I109" s="56">
        <f t="shared" si="7"/>
        <v>0.07162774485883591</v>
      </c>
    </row>
    <row r="110" spans="1:9" ht="11.25">
      <c r="A110" s="52" t="s">
        <v>212</v>
      </c>
      <c r="B110" s="53">
        <v>9.514754601830145</v>
      </c>
      <c r="C110" s="63">
        <f t="shared" si="14"/>
        <v>0</v>
      </c>
      <c r="D110" s="64">
        <f t="shared" si="11"/>
        <v>0</v>
      </c>
      <c r="E110" s="56">
        <f t="shared" si="6"/>
        <v>-0.06053157042244352</v>
      </c>
      <c r="F110" s="5">
        <v>369.53</v>
      </c>
      <c r="G110" s="65">
        <f t="shared" si="12"/>
        <v>0.589999999999975</v>
      </c>
      <c r="H110" s="64">
        <f t="shared" si="13"/>
        <v>0.001599176017780601</v>
      </c>
      <c r="I110" s="56">
        <f t="shared" si="7"/>
        <v>0.07334146624840247</v>
      </c>
    </row>
    <row r="111" spans="1:9" ht="11.25">
      <c r="A111" s="52" t="s">
        <v>213</v>
      </c>
      <c r="B111" s="53">
        <v>8.782665363381986</v>
      </c>
      <c r="C111" s="63">
        <f t="shared" si="14"/>
        <v>-0.7320892384481592</v>
      </c>
      <c r="D111" s="64">
        <f t="shared" si="11"/>
        <v>-0.07694252443540091</v>
      </c>
      <c r="E111" s="56">
        <f t="shared" si="6"/>
        <v>-0.13281664302150237</v>
      </c>
      <c r="F111" s="5">
        <v>364.55</v>
      </c>
      <c r="G111" s="65">
        <f t="shared" si="12"/>
        <v>-4.979999999999961</v>
      </c>
      <c r="H111" s="64">
        <f t="shared" si="13"/>
        <v>-0.01347657835629032</v>
      </c>
      <c r="I111" s="56">
        <f t="shared" si="7"/>
        <v>0.05887649587545033</v>
      </c>
    </row>
    <row r="112" spans="1:9" ht="11.25">
      <c r="A112" s="52" t="s">
        <v>214</v>
      </c>
      <c r="B112" s="53">
        <v>8.930135680254102</v>
      </c>
      <c r="C112" s="63">
        <f t="shared" si="14"/>
        <v>0.1474703168721163</v>
      </c>
      <c r="D112" s="64">
        <f t="shared" si="11"/>
        <v>0.016791066352928784</v>
      </c>
      <c r="E112" s="56">
        <f t="shared" si="6"/>
        <v>-0.1182557097343209</v>
      </c>
      <c r="F112" s="5">
        <v>362.22</v>
      </c>
      <c r="G112" s="65">
        <f t="shared" si="12"/>
        <v>-2.329999999999984</v>
      </c>
      <c r="H112" s="64">
        <f t="shared" si="13"/>
        <v>-0.006391441503223108</v>
      </c>
      <c r="I112" s="56">
        <f t="shared" si="7"/>
        <v>0.05210874869292453</v>
      </c>
    </row>
    <row r="113" spans="1:9" ht="11.25">
      <c r="A113" s="52" t="s">
        <v>216</v>
      </c>
      <c r="B113" s="53">
        <v>9.222128609241473</v>
      </c>
      <c r="C113" s="63">
        <f t="shared" si="14"/>
        <v>0.29199292898737106</v>
      </c>
      <c r="D113" s="64">
        <f t="shared" si="11"/>
        <v>0.032697479572792176</v>
      </c>
      <c r="E113" s="56">
        <f t="shared" si="6"/>
        <v>-0.08942489381493272</v>
      </c>
      <c r="F113" s="5">
        <v>363.02</v>
      </c>
      <c r="G113" s="65">
        <f t="shared" si="12"/>
        <v>0.7999999999999545</v>
      </c>
      <c r="H113" s="64">
        <f t="shared" si="13"/>
        <v>0.0022086025067637196</v>
      </c>
      <c r="I113" s="56">
        <f t="shared" si="7"/>
        <v>0.05443243871267576</v>
      </c>
    </row>
    <row r="114" spans="1:9" ht="11.25">
      <c r="A114" s="52" t="s">
        <v>217</v>
      </c>
      <c r="B114" s="53">
        <v>9.286410542237011</v>
      </c>
      <c r="C114" s="63">
        <f t="shared" si="14"/>
        <v>0.06428193299553797</v>
      </c>
      <c r="D114" s="64">
        <f t="shared" si="11"/>
        <v>0.00697040083903419</v>
      </c>
      <c r="E114" s="56">
        <f t="shared" si="6"/>
        <v>-0.08307782033077668</v>
      </c>
      <c r="F114" s="5">
        <v>365.12</v>
      </c>
      <c r="G114" s="65">
        <f t="shared" si="12"/>
        <v>2.1000000000000227</v>
      </c>
      <c r="H114" s="64">
        <f t="shared" si="13"/>
        <v>0.005784805244890151</v>
      </c>
      <c r="I114" s="56">
        <f t="shared" si="7"/>
        <v>0.06053212501452316</v>
      </c>
    </row>
    <row r="115" spans="1:9" ht="11.25">
      <c r="A115" s="52" t="s">
        <v>219</v>
      </c>
      <c r="B115" s="53">
        <v>9.429054647205627</v>
      </c>
      <c r="C115" s="63">
        <f t="shared" si="14"/>
        <v>0.1426441049686158</v>
      </c>
      <c r="D115" s="64">
        <f t="shared" si="11"/>
        <v>0.015360521088297066</v>
      </c>
      <c r="E115" s="56">
        <f t="shared" si="6"/>
        <v>-0.06899341785364026</v>
      </c>
      <c r="F115" s="5">
        <v>371.93</v>
      </c>
      <c r="G115" s="65">
        <f t="shared" si="12"/>
        <v>6.810000000000002</v>
      </c>
      <c r="H115" s="64">
        <f t="shared" si="13"/>
        <v>0.0186514022787029</v>
      </c>
      <c r="I115" s="56">
        <f t="shared" si="7"/>
        <v>0.08031253630765667</v>
      </c>
    </row>
    <row r="116" spans="1:9" ht="11.25">
      <c r="A116" s="52" t="s">
        <v>221</v>
      </c>
      <c r="B116" s="53">
        <v>9.358836088633442</v>
      </c>
      <c r="C116" s="63">
        <f t="shared" si="14"/>
        <v>-0.07021855857218462</v>
      </c>
      <c r="D116" s="64">
        <f t="shared" si="11"/>
        <v>-0.0074470412145712225</v>
      </c>
      <c r="E116" s="56">
        <f t="shared" si="6"/>
        <v>-0.0759266622419213</v>
      </c>
      <c r="F116" s="5">
        <v>375.82</v>
      </c>
      <c r="G116" s="65">
        <f t="shared" si="12"/>
        <v>3.8899999999999864</v>
      </c>
      <c r="H116" s="64">
        <f t="shared" si="13"/>
        <v>0.010458957330680467</v>
      </c>
      <c r="I116" s="56">
        <f t="shared" si="7"/>
        <v>0.09161147902869764</v>
      </c>
    </row>
    <row r="117" spans="1:9" ht="11.25">
      <c r="A117" s="52" t="s">
        <v>224</v>
      </c>
      <c r="B117" s="53">
        <v>9.326672576197389</v>
      </c>
      <c r="C117" s="63">
        <f t="shared" si="14"/>
        <v>-0.03216351243605331</v>
      </c>
      <c r="D117" s="64">
        <f t="shared" si="11"/>
        <v>-0.0034367000481092687</v>
      </c>
      <c r="E117" s="56">
        <f t="shared" si="6"/>
        <v>-0.07910242512625097</v>
      </c>
      <c r="F117" s="5">
        <v>376.2</v>
      </c>
      <c r="G117" s="65">
        <f t="shared" si="12"/>
        <v>0.37999999999999545</v>
      </c>
      <c r="H117" s="64">
        <f t="shared" si="13"/>
        <v>0.0010111223458038302</v>
      </c>
      <c r="I117" s="56">
        <f t="shared" si="7"/>
        <v>0.09271523178807953</v>
      </c>
    </row>
    <row r="118" spans="1:9" ht="11.25">
      <c r="A118" s="52" t="s">
        <v>225</v>
      </c>
      <c r="B118" s="53">
        <v>9.326672576197389</v>
      </c>
      <c r="C118" s="63">
        <f t="shared" si="14"/>
        <v>0</v>
      </c>
      <c r="D118" s="64">
        <f t="shared" si="11"/>
        <v>0</v>
      </c>
      <c r="E118" s="56">
        <f t="shared" si="6"/>
        <v>-0.07910242512625097</v>
      </c>
      <c r="F118" s="5">
        <v>375.02</v>
      </c>
      <c r="G118" s="65">
        <f t="shared" si="12"/>
        <v>-1.1800000000000068</v>
      </c>
      <c r="H118" s="64">
        <f t="shared" si="13"/>
        <v>-0.0031366294524189445</v>
      </c>
      <c r="I118" s="56">
        <f t="shared" si="7"/>
        <v>0.08928778900894624</v>
      </c>
    </row>
    <row r="119" spans="1:9" ht="11.25">
      <c r="A119" s="52" t="s">
        <v>226</v>
      </c>
      <c r="B119" s="53">
        <v>9.326672576197389</v>
      </c>
      <c r="C119" s="63">
        <f t="shared" si="14"/>
        <v>0</v>
      </c>
      <c r="D119" s="64">
        <f t="shared" si="11"/>
        <v>0</v>
      </c>
      <c r="E119" s="56">
        <f t="shared" si="6"/>
        <v>-0.07910242512625097</v>
      </c>
      <c r="F119" s="5">
        <v>383.36</v>
      </c>
      <c r="G119" s="65">
        <f t="shared" si="12"/>
        <v>8.340000000000032</v>
      </c>
      <c r="H119" s="64">
        <f t="shared" si="13"/>
        <v>0.022238813929923825</v>
      </c>
      <c r="I119" s="56">
        <f t="shared" si="7"/>
        <v>0.11351225746485431</v>
      </c>
    </row>
    <row r="120" spans="1:9" ht="11.25">
      <c r="A120" s="52" t="s">
        <v>227</v>
      </c>
      <c r="B120" s="53">
        <v>9.402869963715531</v>
      </c>
      <c r="C120" s="63">
        <f t="shared" si="14"/>
        <v>0.07619738751814253</v>
      </c>
      <c r="D120" s="64">
        <f t="shared" si="11"/>
        <v>0.008169836229976163</v>
      </c>
      <c r="E120" s="56">
        <f t="shared" si="6"/>
        <v>-0.07157884275495023</v>
      </c>
      <c r="F120" s="5">
        <v>386.54</v>
      </c>
      <c r="G120" s="65">
        <f t="shared" si="12"/>
        <v>3.180000000000007</v>
      </c>
      <c r="H120" s="64">
        <f t="shared" si="13"/>
        <v>0.008295075125208698</v>
      </c>
      <c r="I120" s="56">
        <f t="shared" si="7"/>
        <v>0.122748925293366</v>
      </c>
    </row>
    <row r="121" spans="1:9" ht="11.25">
      <c r="A121" s="52" t="s">
        <v>228</v>
      </c>
      <c r="B121" s="53">
        <v>9.304901894049348</v>
      </c>
      <c r="C121" s="63">
        <f t="shared" si="14"/>
        <v>-0.09796806966618377</v>
      </c>
      <c r="D121" s="64">
        <f t="shared" si="11"/>
        <v>-0.010418954004918709</v>
      </c>
      <c r="E121" s="56">
        <f t="shared" si="6"/>
        <v>-0.0812520200894798</v>
      </c>
      <c r="F121" s="5">
        <v>384.63</v>
      </c>
      <c r="G121" s="65">
        <f t="shared" si="12"/>
        <v>-1.910000000000025</v>
      </c>
      <c r="H121" s="64">
        <f t="shared" si="13"/>
        <v>-0.004941273865576719</v>
      </c>
      <c r="I121" s="56">
        <f t="shared" si="7"/>
        <v>0.11720111537120956</v>
      </c>
    </row>
    <row r="122" spans="1:9" ht="11.25">
      <c r="A122" s="52" t="s">
        <v>229</v>
      </c>
      <c r="B122" s="53">
        <v>9.250475188679246</v>
      </c>
      <c r="C122" s="63">
        <f t="shared" si="14"/>
        <v>-0.0544267053701013</v>
      </c>
      <c r="D122" s="64">
        <f t="shared" si="11"/>
        <v>-0.005849250856143702</v>
      </c>
      <c r="E122" s="56">
        <f t="shared" si="6"/>
        <v>-0.08662600749755171</v>
      </c>
      <c r="F122" s="5">
        <v>384.5</v>
      </c>
      <c r="G122" s="65">
        <f t="shared" si="12"/>
        <v>-0.12999999999999545</v>
      </c>
      <c r="H122" s="64">
        <f t="shared" si="13"/>
        <v>-0.00033798715648804164</v>
      </c>
      <c r="I122" s="56">
        <f t="shared" si="7"/>
        <v>0.11682351574299997</v>
      </c>
    </row>
    <row r="123" spans="1:9" ht="11.25">
      <c r="A123" s="52" t="s">
        <v>230</v>
      </c>
      <c r="B123" s="53">
        <v>9.208113069666185</v>
      </c>
      <c r="C123" s="63">
        <f t="shared" si="14"/>
        <v>-0.04236211901306142</v>
      </c>
      <c r="D123" s="64">
        <f t="shared" si="11"/>
        <v>-0.004579453287427254</v>
      </c>
      <c r="E123" s="56">
        <f t="shared" si="6"/>
        <v>-0.0908087610301676</v>
      </c>
      <c r="F123" s="5">
        <v>385.5</v>
      </c>
      <c r="G123" s="65">
        <f t="shared" si="12"/>
        <v>1</v>
      </c>
      <c r="H123" s="64">
        <f t="shared" si="13"/>
        <v>0.002600780234070221</v>
      </c>
      <c r="I123" s="56">
        <f t="shared" si="7"/>
        <v>0.11972812826768918</v>
      </c>
    </row>
    <row r="124" spans="1:9" ht="11.25">
      <c r="A124" s="52" t="s">
        <v>231</v>
      </c>
      <c r="B124" s="53">
        <v>9.171828599419449</v>
      </c>
      <c r="C124" s="63">
        <f t="shared" si="14"/>
        <v>-0.03628447024673598</v>
      </c>
      <c r="D124" s="64">
        <f t="shared" si="11"/>
        <v>-0.003940489215566439</v>
      </c>
      <c r="E124" s="56">
        <f t="shared" si="6"/>
        <v>-0.09439141930221571</v>
      </c>
      <c r="F124" s="5">
        <v>378.97</v>
      </c>
      <c r="G124" s="65">
        <f t="shared" si="12"/>
        <v>-6.529999999999973</v>
      </c>
      <c r="H124" s="64">
        <f t="shared" si="13"/>
        <v>-0.016939040207522627</v>
      </c>
      <c r="I124" s="56">
        <f t="shared" si="7"/>
        <v>0.10076100848146874</v>
      </c>
    </row>
    <row r="125" spans="1:9" ht="11.25">
      <c r="A125" s="52" t="s">
        <v>233</v>
      </c>
      <c r="B125" s="53">
        <v>9.20127997822932</v>
      </c>
      <c r="C125" s="63">
        <f t="shared" si="14"/>
        <v>0.029451378809870477</v>
      </c>
      <c r="D125" s="64">
        <f t="shared" si="11"/>
        <v>0.0032110694711122998</v>
      </c>
      <c r="E125" s="56">
        <f t="shared" si="6"/>
        <v>-0.09148344723595972</v>
      </c>
      <c r="F125" s="5">
        <v>375.39</v>
      </c>
      <c r="G125" s="65">
        <f t="shared" si="12"/>
        <v>-3.580000000000041</v>
      </c>
      <c r="H125" s="64">
        <f t="shared" si="13"/>
        <v>-0.009446658046811201</v>
      </c>
      <c r="I125" s="56">
        <f t="shared" si="7"/>
        <v>0.09036249564308126</v>
      </c>
    </row>
    <row r="126" spans="1:9" ht="11.25">
      <c r="A126" s="52" t="s">
        <v>235</v>
      </c>
      <c r="B126" s="53">
        <v>9.155137457843065</v>
      </c>
      <c r="C126" s="63">
        <f t="shared" si="14"/>
        <v>-0.04614252038625466</v>
      </c>
      <c r="D126" s="64">
        <f t="shared" si="11"/>
        <v>-0.0050147936477783666</v>
      </c>
      <c r="E126" s="56">
        <f t="shared" si="6"/>
        <v>-0.09603947027366233</v>
      </c>
      <c r="F126" s="5">
        <v>369.71</v>
      </c>
      <c r="G126" s="65">
        <f t="shared" si="12"/>
        <v>-5.680000000000007</v>
      </c>
      <c r="H126" s="64">
        <f t="shared" si="13"/>
        <v>-0.01513093049894778</v>
      </c>
      <c r="I126" s="56">
        <f t="shared" si="7"/>
        <v>0.07386429650284655</v>
      </c>
    </row>
    <row r="127" spans="1:9" ht="11.25">
      <c r="A127" s="52" t="s">
        <v>236</v>
      </c>
      <c r="B127" s="53">
        <v>9.042718961253092</v>
      </c>
      <c r="C127" s="63">
        <f t="shared" si="14"/>
        <v>-0.1124184965899726</v>
      </c>
      <c r="D127" s="64">
        <f t="shared" si="11"/>
        <v>-0.012279280033492606</v>
      </c>
      <c r="E127" s="56">
        <f t="shared" si="6"/>
        <v>-0.10713945475739635</v>
      </c>
      <c r="F127" s="5">
        <v>368.53</v>
      </c>
      <c r="G127" s="65">
        <f t="shared" si="12"/>
        <v>-1.1800000000000068</v>
      </c>
      <c r="H127" s="64">
        <f t="shared" si="13"/>
        <v>-0.0031916907846690837</v>
      </c>
      <c r="I127" s="56">
        <f t="shared" si="7"/>
        <v>0.07043685372371326</v>
      </c>
    </row>
    <row r="128" spans="1:9" ht="11.25">
      <c r="A128" s="52" t="s">
        <v>244</v>
      </c>
      <c r="B128" s="53">
        <v>8.993741969572062</v>
      </c>
      <c r="C128" s="63">
        <f t="shared" si="14"/>
        <v>-0.04897699168103031</v>
      </c>
      <c r="D128" s="64">
        <f t="shared" si="11"/>
        <v>-0.005416179789606482</v>
      </c>
      <c r="E128" s="56">
        <f t="shared" si="6"/>
        <v>-0.11197534799747637</v>
      </c>
      <c r="F128" s="5">
        <v>368.85</v>
      </c>
      <c r="G128" s="65">
        <f t="shared" si="12"/>
        <v>0.32000000000005</v>
      </c>
      <c r="H128" s="64">
        <f t="shared" si="13"/>
        <v>0.000868314655523431</v>
      </c>
      <c r="I128" s="56">
        <f t="shared" si="7"/>
        <v>0.07136632973161396</v>
      </c>
    </row>
    <row r="129" spans="1:9" ht="11.25">
      <c r="A129" s="52" t="s">
        <v>245</v>
      </c>
      <c r="B129" s="53">
        <v>9.147200786929478</v>
      </c>
      <c r="C129" s="63">
        <f t="shared" si="14"/>
        <v>0.15345881735741607</v>
      </c>
      <c r="D129" s="64">
        <f t="shared" si="11"/>
        <v>0.017062844128350938</v>
      </c>
      <c r="E129" s="56">
        <f t="shared" si="6"/>
        <v>-0.09682312177822422</v>
      </c>
      <c r="F129" s="5">
        <v>372.97</v>
      </c>
      <c r="G129" s="65">
        <f t="shared" si="12"/>
        <v>4.1200000000000045</v>
      </c>
      <c r="H129" s="64">
        <f t="shared" si="13"/>
        <v>0.011169852243459413</v>
      </c>
      <c r="I129" s="56">
        <f t="shared" si="7"/>
        <v>0.0833333333333335</v>
      </c>
    </row>
    <row r="130" spans="1:9" ht="11.25">
      <c r="A130" s="52" t="s">
        <v>246</v>
      </c>
      <c r="B130" s="53">
        <v>9.257552656823805</v>
      </c>
      <c r="C130" s="63">
        <f t="shared" si="14"/>
        <v>0.11035186989432688</v>
      </c>
      <c r="D130" s="64">
        <f t="shared" si="11"/>
        <v>0.012064004329281775</v>
      </c>
      <c r="E130" s="56">
        <f t="shared" si="6"/>
        <v>-0.08592719200924952</v>
      </c>
      <c r="F130" s="5">
        <v>374.63</v>
      </c>
      <c r="G130" s="65">
        <f t="shared" si="12"/>
        <v>1.6599999999999682</v>
      </c>
      <c r="H130" s="64">
        <f t="shared" si="13"/>
        <v>0.004450760114754452</v>
      </c>
      <c r="I130" s="56">
        <f t="shared" si="7"/>
        <v>0.08815499012431749</v>
      </c>
    </row>
    <row r="131" spans="1:9" ht="11.25">
      <c r="A131" s="52" t="s">
        <v>249</v>
      </c>
      <c r="B131" s="53">
        <v>9.28730301281571</v>
      </c>
      <c r="C131" s="63">
        <f t="shared" si="14"/>
        <v>0.02975035599190612</v>
      </c>
      <c r="D131" s="64">
        <f t="shared" si="11"/>
        <v>0.0032136307612549123</v>
      </c>
      <c r="E131" s="56">
        <f t="shared" si="6"/>
        <v>-0.08298969951546378</v>
      </c>
      <c r="F131" s="5">
        <v>375.24</v>
      </c>
      <c r="G131" s="65">
        <f t="shared" si="12"/>
        <v>0.6100000000000136</v>
      </c>
      <c r="H131" s="64">
        <f t="shared" si="13"/>
        <v>0.0016282732295865617</v>
      </c>
      <c r="I131" s="56">
        <f t="shared" si="7"/>
        <v>0.08992680376437795</v>
      </c>
    </row>
    <row r="132" spans="1:9" ht="11.25">
      <c r="A132" s="52" t="s">
        <v>251</v>
      </c>
      <c r="B132" s="53">
        <v>9.360141954582929</v>
      </c>
      <c r="C132" s="63">
        <f t="shared" si="14"/>
        <v>0.07283894176721795</v>
      </c>
      <c r="D132" s="64">
        <f t="shared" si="11"/>
        <v>0.00784285186632828</v>
      </c>
      <c r="E132" s="56">
        <f aca="true" t="shared" si="15" ref="E132:E175">(B132-$B$3)/$B$3</f>
        <v>-0.07579772356886638</v>
      </c>
      <c r="F132" s="5">
        <v>380.05</v>
      </c>
      <c r="G132" s="65">
        <f t="shared" si="12"/>
        <v>4.810000000000002</v>
      </c>
      <c r="H132" s="64">
        <f t="shared" si="13"/>
        <v>0.01281846285044239</v>
      </c>
      <c r="I132" s="56">
        <f aca="true" t="shared" si="16" ref="I132:I175">(F132-$F$3)/$F$3</f>
        <v>0.10389799000813303</v>
      </c>
    </row>
    <row r="133" spans="1:9" ht="11.25">
      <c r="A133" s="52" t="s">
        <v>256</v>
      </c>
      <c r="B133" s="53">
        <v>9.39012149441655</v>
      </c>
      <c r="C133" s="63">
        <f t="shared" si="14"/>
        <v>0.02997953983362045</v>
      </c>
      <c r="D133" s="64">
        <f t="shared" si="11"/>
        <v>0.0032028937145490424</v>
      </c>
      <c r="E133" s="56">
        <f t="shared" si="15"/>
        <v>-0.07283760190671319</v>
      </c>
      <c r="F133" s="5">
        <v>379.45</v>
      </c>
      <c r="G133" s="65">
        <f t="shared" si="12"/>
        <v>-0.6000000000000227</v>
      </c>
      <c r="H133" s="64">
        <f t="shared" si="13"/>
        <v>-0.0015787396395211754</v>
      </c>
      <c r="I133" s="56">
        <f t="shared" si="16"/>
        <v>0.10215522249331944</v>
      </c>
    </row>
    <row r="134" spans="1:9" ht="11.25">
      <c r="A134" s="52" t="s">
        <v>258</v>
      </c>
      <c r="B134" s="53">
        <v>9.357373236903246</v>
      </c>
      <c r="C134" s="63">
        <f t="shared" si="14"/>
        <v>-0.0327482575133029</v>
      </c>
      <c r="D134" s="64">
        <f t="shared" si="11"/>
        <v>-0.003487522236296443</v>
      </c>
      <c r="E134" s="56">
        <f t="shared" si="15"/>
        <v>-0.07607110138672146</v>
      </c>
      <c r="F134" s="5">
        <v>378.2</v>
      </c>
      <c r="G134" s="65">
        <f t="shared" si="12"/>
        <v>-1.25</v>
      </c>
      <c r="H134" s="64">
        <f t="shared" si="13"/>
        <v>-0.003294241665568586</v>
      </c>
      <c r="I134" s="56">
        <f t="shared" si="16"/>
        <v>0.09852445683745793</v>
      </c>
    </row>
    <row r="135" spans="1:9" ht="11.25">
      <c r="A135" s="52" t="s">
        <v>260</v>
      </c>
      <c r="B135" s="53">
        <v>9.384295522798176</v>
      </c>
      <c r="C135" s="63">
        <f t="shared" si="14"/>
        <v>0.026922285894929843</v>
      </c>
      <c r="D135" s="64">
        <f t="shared" si="11"/>
        <v>0.00287712002218259</v>
      </c>
      <c r="E135" s="56">
        <f t="shared" si="15"/>
        <v>-0.0734128470534481</v>
      </c>
      <c r="F135" s="5">
        <v>384.32</v>
      </c>
      <c r="G135" s="65">
        <f t="shared" si="12"/>
        <v>6.1200000000000045</v>
      </c>
      <c r="H135" s="64">
        <f t="shared" si="13"/>
        <v>0.01618191433104179</v>
      </c>
      <c r="I135" s="56">
        <f t="shared" si="16"/>
        <v>0.11630068548855589</v>
      </c>
    </row>
    <row r="136" spans="1:9" ht="11.25">
      <c r="A136" s="52" t="s">
        <v>261</v>
      </c>
      <c r="B136" s="53">
        <v>9.325072725733571</v>
      </c>
      <c r="C136" s="63">
        <f t="shared" si="14"/>
        <v>-0.05922279706460465</v>
      </c>
      <c r="D136" s="64">
        <f t="shared" si="11"/>
        <v>-0.0063108410131297536</v>
      </c>
      <c r="E136" s="56">
        <f t="shared" si="15"/>
        <v>-0.07926039126050233</v>
      </c>
      <c r="F136" s="5">
        <v>383.49</v>
      </c>
      <c r="G136" s="65">
        <f t="shared" si="12"/>
        <v>-0.8299999999999841</v>
      </c>
      <c r="H136" s="64">
        <f t="shared" si="13"/>
        <v>-0.002159658617818443</v>
      </c>
      <c r="I136" s="56">
        <f t="shared" si="16"/>
        <v>0.1138898570930639</v>
      </c>
    </row>
    <row r="137" spans="1:9" ht="11.25">
      <c r="A137" s="52" t="s">
        <v>263</v>
      </c>
      <c r="B137" s="53">
        <v>9.30425627685322</v>
      </c>
      <c r="C137" s="63">
        <f t="shared" si="14"/>
        <v>-0.0208164488803515</v>
      </c>
      <c r="D137" s="64">
        <f t="shared" si="11"/>
        <v>-0.00223230954788226</v>
      </c>
      <c r="E137" s="56">
        <f t="shared" si="15"/>
        <v>-0.08131576708020488</v>
      </c>
      <c r="F137" s="5">
        <v>386.79</v>
      </c>
      <c r="G137" s="65">
        <f t="shared" si="12"/>
        <v>3.3000000000000114</v>
      </c>
      <c r="H137" s="64">
        <f t="shared" si="13"/>
        <v>0.0086051787530314</v>
      </c>
      <c r="I137" s="56">
        <f t="shared" si="16"/>
        <v>0.12347507842453831</v>
      </c>
    </row>
    <row r="138" spans="1:9" ht="11.25">
      <c r="A138" s="52" t="s">
        <v>265</v>
      </c>
      <c r="B138" s="53">
        <v>9.33245389156573</v>
      </c>
      <c r="C138" s="63">
        <f t="shared" si="14"/>
        <v>0.0281976147125107</v>
      </c>
      <c r="D138" s="64">
        <f t="shared" si="11"/>
        <v>0.0030306145782613134</v>
      </c>
      <c r="E138" s="56">
        <f t="shared" si="15"/>
        <v>-0.07853158925109933</v>
      </c>
      <c r="F138" s="5">
        <v>385.22</v>
      </c>
      <c r="G138" s="65">
        <f t="shared" si="12"/>
        <v>-1.5699999999999932</v>
      </c>
      <c r="H138" s="64">
        <f t="shared" si="13"/>
        <v>-0.004059050130561786</v>
      </c>
      <c r="I138" s="56">
        <f t="shared" si="16"/>
        <v>0.11891483676077629</v>
      </c>
    </row>
    <row r="139" spans="1:9" ht="11.25">
      <c r="A139" s="52" t="s">
        <v>266</v>
      </c>
      <c r="B139" s="53">
        <v>9.083350386630844</v>
      </c>
      <c r="C139" s="63">
        <f t="shared" si="14"/>
        <v>-0.24910350493488664</v>
      </c>
      <c r="D139" s="64">
        <f t="shared" si="11"/>
        <v>-0.02669217633745993</v>
      </c>
      <c r="E139" s="56">
        <f t="shared" si="15"/>
        <v>-0.10312758656020796</v>
      </c>
      <c r="F139" s="5">
        <v>383</v>
      </c>
      <c r="G139" s="65">
        <f t="shared" si="12"/>
        <v>-2.2200000000000273</v>
      </c>
      <c r="H139" s="64">
        <f t="shared" si="13"/>
        <v>-0.0057629406572868155</v>
      </c>
      <c r="I139" s="56">
        <f t="shared" si="16"/>
        <v>0.11246659695596616</v>
      </c>
    </row>
    <row r="140" spans="1:9" ht="11.25">
      <c r="A140" s="52" t="s">
        <v>267</v>
      </c>
      <c r="B140" s="53">
        <v>8.898083991595707</v>
      </c>
      <c r="C140" s="63">
        <f t="shared" si="14"/>
        <v>-0.18526639503513742</v>
      </c>
      <c r="D140" s="64">
        <f t="shared" si="11"/>
        <v>-0.020396262078342615</v>
      </c>
      <c r="E140" s="56">
        <f t="shared" si="15"/>
        <v>-0.1214204313555616</v>
      </c>
      <c r="F140" s="5">
        <v>379.03</v>
      </c>
      <c r="G140" s="65">
        <f t="shared" si="12"/>
        <v>-3.9700000000000273</v>
      </c>
      <c r="H140" s="64">
        <f t="shared" si="13"/>
        <v>-0.010365535248041846</v>
      </c>
      <c r="I140" s="56">
        <f t="shared" si="16"/>
        <v>0.10093528523294994</v>
      </c>
    </row>
    <row r="141" spans="1:9" ht="11.25">
      <c r="A141" s="52" t="s">
        <v>268</v>
      </c>
      <c r="B141" s="53">
        <v>8.960533338236765</v>
      </c>
      <c r="C141" s="63">
        <f t="shared" si="14"/>
        <v>0.06244934664105806</v>
      </c>
      <c r="D141" s="64">
        <f t="shared" si="11"/>
        <v>0.007018291432182685</v>
      </c>
      <c r="E141" s="56">
        <f t="shared" si="15"/>
        <v>-0.11525430389645358</v>
      </c>
      <c r="F141" s="5">
        <v>382.97</v>
      </c>
      <c r="G141" s="65">
        <f t="shared" si="12"/>
        <v>3.9400000000000546</v>
      </c>
      <c r="H141" s="64">
        <f t="shared" si="13"/>
        <v>0.010394955544416154</v>
      </c>
      <c r="I141" s="56">
        <f t="shared" si="16"/>
        <v>0.11237945858022556</v>
      </c>
    </row>
    <row r="142" spans="1:9" ht="11.25">
      <c r="A142" s="52" t="s">
        <v>269</v>
      </c>
      <c r="B142" s="53">
        <v>8.981349787117116</v>
      </c>
      <c r="C142" s="63">
        <f t="shared" si="14"/>
        <v>0.0208164488803515</v>
      </c>
      <c r="D142" s="64">
        <f t="shared" si="11"/>
        <v>0.0023231261013808937</v>
      </c>
      <c r="E142" s="56">
        <f t="shared" si="15"/>
        <v>-0.11319892807675103</v>
      </c>
      <c r="F142" s="5">
        <v>387.37</v>
      </c>
      <c r="G142" s="65">
        <f t="shared" si="12"/>
        <v>4.399999999999977</v>
      </c>
      <c r="H142" s="64">
        <f t="shared" si="13"/>
        <v>0.011489150586207737</v>
      </c>
      <c r="I142" s="56">
        <f t="shared" si="16"/>
        <v>0.125159753688858</v>
      </c>
    </row>
    <row r="143" spans="1:9" ht="11.25">
      <c r="A143" s="52" t="s">
        <v>270</v>
      </c>
      <c r="B143" s="53">
        <v>9.032003146059308</v>
      </c>
      <c r="C143" s="63">
        <f t="shared" si="14"/>
        <v>0.05065335894219203</v>
      </c>
      <c r="D143" s="64">
        <f t="shared" si="11"/>
        <v>0.005639838124871766</v>
      </c>
      <c r="E143" s="56">
        <f t="shared" si="15"/>
        <v>-0.10819751358214114</v>
      </c>
      <c r="F143" s="5">
        <v>388.62</v>
      </c>
      <c r="G143" s="65">
        <f t="shared" si="12"/>
        <v>1.25</v>
      </c>
      <c r="H143" s="64">
        <f t="shared" si="13"/>
        <v>0.0032268890208327953</v>
      </c>
      <c r="I143" s="56">
        <f t="shared" si="16"/>
        <v>0.12879051934471952</v>
      </c>
    </row>
    <row r="144" spans="1:9" ht="11.25">
      <c r="A144" s="52" t="s">
        <v>272</v>
      </c>
      <c r="B144" s="53">
        <v>9.038488954792225</v>
      </c>
      <c r="C144" s="63">
        <f t="shared" si="14"/>
        <v>0.006485808732916709</v>
      </c>
      <c r="D144" s="64">
        <f t="shared" si="11"/>
        <v>0.0007180919479358783</v>
      </c>
      <c r="E144" s="56">
        <f t="shared" si="15"/>
        <v>-0.10755711739749528</v>
      </c>
      <c r="F144" s="5">
        <v>395.52</v>
      </c>
      <c r="G144" s="65">
        <f t="shared" si="12"/>
        <v>6.899999999999977</v>
      </c>
      <c r="H144" s="64">
        <f t="shared" si="13"/>
        <v>0.017755133549482726</v>
      </c>
      <c r="I144" s="56">
        <f t="shared" si="16"/>
        <v>0.14883234576507498</v>
      </c>
    </row>
    <row r="145" spans="1:9" ht="11.25">
      <c r="A145" s="52" t="s">
        <v>273</v>
      </c>
      <c r="B145" s="53">
        <v>8.933712828761116</v>
      </c>
      <c r="C145" s="63">
        <f t="shared" si="14"/>
        <v>-0.10477612603110842</v>
      </c>
      <c r="D145" s="64">
        <f t="shared" si="11"/>
        <v>-0.01159221707911209</v>
      </c>
      <c r="E145" s="56">
        <f t="shared" si="15"/>
        <v>-0.11790250902333206</v>
      </c>
      <c r="F145" s="5">
        <v>396.88</v>
      </c>
      <c r="G145" s="65">
        <f t="shared" si="12"/>
        <v>1.3600000000000136</v>
      </c>
      <c r="H145" s="64">
        <f t="shared" si="13"/>
        <v>0.003438511326860876</v>
      </c>
      <c r="I145" s="56">
        <f t="shared" si="16"/>
        <v>0.15278261879865235</v>
      </c>
    </row>
    <row r="146" spans="1:9" ht="11.25">
      <c r="A146" s="52" t="s">
        <v>274</v>
      </c>
      <c r="B146" s="53">
        <v>8.908733090104695</v>
      </c>
      <c r="C146" s="63">
        <f t="shared" si="14"/>
        <v>-0.024979738656421446</v>
      </c>
      <c r="D146" s="64">
        <f t="shared" si="11"/>
        <v>-0.0027961206203093855</v>
      </c>
      <c r="E146" s="56">
        <f t="shared" si="15"/>
        <v>-0.12036896000697508</v>
      </c>
      <c r="F146" s="5">
        <v>400.69</v>
      </c>
      <c r="G146" s="65">
        <f t="shared" si="12"/>
        <v>3.8100000000000023</v>
      </c>
      <c r="H146" s="64">
        <f t="shared" si="13"/>
        <v>0.009599879056641811</v>
      </c>
      <c r="I146" s="56">
        <f t="shared" si="16"/>
        <v>0.16384919251771823</v>
      </c>
    </row>
    <row r="147" spans="1:9" ht="11.25">
      <c r="A147" s="52" t="s">
        <v>275</v>
      </c>
      <c r="B147" s="53">
        <v>8.930243420614392</v>
      </c>
      <c r="C147" s="63">
        <f t="shared" si="14"/>
        <v>0.021510330509697084</v>
      </c>
      <c r="D147" s="64">
        <f t="shared" si="11"/>
        <v>0.0024145218284280525</v>
      </c>
      <c r="E147" s="56">
        <f t="shared" si="15"/>
        <v>-0.11824507165994906</v>
      </c>
      <c r="F147" s="5">
        <v>402.98</v>
      </c>
      <c r="G147" s="65">
        <f t="shared" si="12"/>
        <v>2.2900000000000205</v>
      </c>
      <c r="H147" s="64">
        <f t="shared" si="13"/>
        <v>0.0057151413811176235</v>
      </c>
      <c r="I147" s="56">
        <f t="shared" si="16"/>
        <v>0.17050075519925656</v>
      </c>
    </row>
    <row r="148" spans="1:9" ht="11.25">
      <c r="A148" s="52" t="s">
        <v>276</v>
      </c>
      <c r="B148" s="53">
        <v>8.926080130838322</v>
      </c>
      <c r="C148" s="63">
        <f t="shared" si="14"/>
        <v>-0.004163289776069945</v>
      </c>
      <c r="D148" s="64">
        <f t="shared" si="11"/>
        <v>-0.0004662011526426583</v>
      </c>
      <c r="E148" s="56">
        <f t="shared" si="15"/>
        <v>-0.11865614682388954</v>
      </c>
      <c r="F148" s="5">
        <v>403.4</v>
      </c>
      <c r="G148" s="65">
        <f t="shared" si="12"/>
        <v>0.4199999999999591</v>
      </c>
      <c r="H148" s="64">
        <f t="shared" si="13"/>
        <v>0.0010422353466672267</v>
      </c>
      <c r="I148" s="56">
        <f t="shared" si="16"/>
        <v>0.1717206924596259</v>
      </c>
    </row>
    <row r="149" spans="1:9" ht="11.25">
      <c r="A149" s="52" t="s">
        <v>277</v>
      </c>
      <c r="B149" s="53">
        <v>9.005150676395813</v>
      </c>
      <c r="C149" s="63">
        <f t="shared" si="14"/>
        <v>0.07907054555749049</v>
      </c>
      <c r="D149" s="64">
        <f t="shared" si="11"/>
        <v>0.00885837281297903</v>
      </c>
      <c r="E149" s="56">
        <f t="shared" si="15"/>
        <v>-0.1108488743960281</v>
      </c>
      <c r="F149" s="5">
        <v>403.82</v>
      </c>
      <c r="G149" s="65">
        <f t="shared" si="12"/>
        <v>0.4200000000000159</v>
      </c>
      <c r="H149" s="64">
        <f t="shared" si="13"/>
        <v>0.0010411502231036588</v>
      </c>
      <c r="I149" s="56">
        <f t="shared" si="16"/>
        <v>0.17294062971999544</v>
      </c>
    </row>
    <row r="150" spans="1:9" ht="11.25">
      <c r="A150" s="52" t="s">
        <v>280</v>
      </c>
      <c r="B150" s="53">
        <v>9.06482449651949</v>
      </c>
      <c r="C150" s="63">
        <f t="shared" si="14"/>
        <v>0.0596738201236775</v>
      </c>
      <c r="D150" s="64">
        <f t="shared" si="11"/>
        <v>0.006626632054041446</v>
      </c>
      <c r="E150" s="56">
        <f t="shared" si="15"/>
        <v>-0.10495679704621379</v>
      </c>
      <c r="F150" s="5">
        <v>404.78</v>
      </c>
      <c r="G150" s="65">
        <f t="shared" si="12"/>
        <v>0.9599999999999795</v>
      </c>
      <c r="H150" s="64">
        <f t="shared" si="13"/>
        <v>0.002377296815412757</v>
      </c>
      <c r="I150" s="56">
        <f t="shared" si="16"/>
        <v>0.17572905774369701</v>
      </c>
    </row>
    <row r="151" spans="1:9" ht="11.25">
      <c r="A151" s="52" t="s">
        <v>283</v>
      </c>
      <c r="B151" s="53">
        <v>9.029941679249054</v>
      </c>
      <c r="C151" s="63">
        <f t="shared" si="14"/>
        <v>-0.03488281727043585</v>
      </c>
      <c r="D151" s="64">
        <f t="shared" si="11"/>
        <v>-0.003848151421335226</v>
      </c>
      <c r="E151" s="56">
        <f t="shared" si="15"/>
        <v>-0.10840105881981683</v>
      </c>
      <c r="F151" s="5">
        <v>403.69</v>
      </c>
      <c r="G151" s="65">
        <f t="shared" si="12"/>
        <v>-1.089999999999975</v>
      </c>
      <c r="H151" s="64">
        <f t="shared" si="13"/>
        <v>-0.0026928207915410222</v>
      </c>
      <c r="I151" s="56">
        <f t="shared" si="16"/>
        <v>0.17256303009178584</v>
      </c>
    </row>
    <row r="152" spans="1:9" ht="11.25">
      <c r="A152" s="52" t="s">
        <v>285</v>
      </c>
      <c r="B152" s="53">
        <v>9.03594375534289</v>
      </c>
      <c r="C152" s="63">
        <f t="shared" si="14"/>
        <v>0.00600207609383574</v>
      </c>
      <c r="D152" s="64">
        <f t="shared" si="11"/>
        <v>0.0006646860308775419</v>
      </c>
      <c r="E152" s="56">
        <f t="shared" si="15"/>
        <v>-0.10780842545846916</v>
      </c>
      <c r="F152" s="5">
        <v>412.68</v>
      </c>
      <c r="G152" s="65">
        <f t="shared" si="12"/>
        <v>8.990000000000009</v>
      </c>
      <c r="H152" s="64">
        <f t="shared" si="13"/>
        <v>0.022269563278753523</v>
      </c>
      <c r="I152" s="56">
        <f t="shared" si="16"/>
        <v>0.19867549668874185</v>
      </c>
    </row>
    <row r="153" spans="1:9" ht="11.25">
      <c r="A153" s="52" t="s">
        <v>287</v>
      </c>
      <c r="B153" s="53">
        <v>9.053047937506246</v>
      </c>
      <c r="C153" s="63">
        <f t="shared" si="14"/>
        <v>0.017104182163356185</v>
      </c>
      <c r="D153" s="64">
        <f t="shared" si="11"/>
        <v>0.0018929048947701342</v>
      </c>
      <c r="E153" s="56">
        <f t="shared" si="15"/>
        <v>-0.10611959165994682</v>
      </c>
      <c r="F153" s="5">
        <v>415.63</v>
      </c>
      <c r="G153" s="65">
        <f t="shared" si="12"/>
        <v>2.9499999999999886</v>
      </c>
      <c r="H153" s="64">
        <f t="shared" si="13"/>
        <v>0.007148395851507194</v>
      </c>
      <c r="I153" s="56">
        <f t="shared" si="16"/>
        <v>0.20724410363657497</v>
      </c>
    </row>
    <row r="154" spans="1:9" ht="11.25">
      <c r="A154" s="52" t="s">
        <v>288</v>
      </c>
      <c r="B154" s="53">
        <v>9.10023188830171</v>
      </c>
      <c r="C154" s="63">
        <f t="shared" si="14"/>
        <v>0.047183950795464114</v>
      </c>
      <c r="D154" s="64">
        <f t="shared" si="11"/>
        <v>0.005211940897825557</v>
      </c>
      <c r="E154" s="56">
        <f t="shared" si="15"/>
        <v>-0.10146073980195429</v>
      </c>
      <c r="F154" s="5">
        <v>418.21</v>
      </c>
      <c r="G154" s="65">
        <f t="shared" si="12"/>
        <v>2.579999999999984</v>
      </c>
      <c r="H154" s="64">
        <f t="shared" si="13"/>
        <v>0.006207444120972943</v>
      </c>
      <c r="I154" s="56">
        <f t="shared" si="16"/>
        <v>0.21473800395027307</v>
      </c>
    </row>
    <row r="155" spans="1:9" ht="11.25">
      <c r="A155" s="52" t="s">
        <v>289</v>
      </c>
      <c r="B155" s="53">
        <v>9.090517545490881</v>
      </c>
      <c r="C155" s="63">
        <f t="shared" si="14"/>
        <v>-0.00971434281082928</v>
      </c>
      <c r="D155" s="64">
        <f t="shared" si="11"/>
        <v>-0.0010674829971439525</v>
      </c>
      <c r="E155" s="56">
        <f t="shared" si="15"/>
        <v>-0.10241991518448201</v>
      </c>
      <c r="F155" s="5">
        <v>419.28</v>
      </c>
      <c r="G155" s="65">
        <f t="shared" si="12"/>
        <v>1.0699999999999932</v>
      </c>
      <c r="H155" s="64">
        <f t="shared" si="13"/>
        <v>0.002558523229956226</v>
      </c>
      <c r="I155" s="56">
        <f t="shared" si="16"/>
        <v>0.2178459393516905</v>
      </c>
    </row>
    <row r="156" spans="1:9" ht="11.25">
      <c r="A156" s="52" t="s">
        <v>291</v>
      </c>
      <c r="B156" s="53">
        <v>9.16119133230824</v>
      </c>
      <c r="C156" s="63">
        <f t="shared" si="14"/>
        <v>0.07067378681735903</v>
      </c>
      <c r="D156" s="64">
        <f t="shared" si="11"/>
        <v>0.007774451395500023</v>
      </c>
      <c r="E156" s="56">
        <f t="shared" si="15"/>
        <v>-0.09544172244151497</v>
      </c>
      <c r="F156" s="5">
        <v>424.05</v>
      </c>
      <c r="G156" s="65">
        <f t="shared" si="12"/>
        <v>4.770000000000039</v>
      </c>
      <c r="H156" s="64">
        <f t="shared" si="13"/>
        <v>0.01137664567830576</v>
      </c>
      <c r="I156" s="56">
        <f t="shared" si="16"/>
        <v>0.23170094109445813</v>
      </c>
    </row>
    <row r="157" spans="1:9" ht="11.25">
      <c r="A157" s="52" t="s">
        <v>293</v>
      </c>
      <c r="B157" s="53">
        <v>9.110295114795777</v>
      </c>
      <c r="C157" s="63">
        <f t="shared" si="14"/>
        <v>-0.05089621751246298</v>
      </c>
      <c r="D157" s="64">
        <f t="shared" si="11"/>
        <v>-0.0055556330684820715</v>
      </c>
      <c r="E157" s="56">
        <f t="shared" si="15"/>
        <v>-0.10046711632068808</v>
      </c>
      <c r="F157" s="5">
        <v>422.6</v>
      </c>
      <c r="G157" s="65">
        <f t="shared" si="12"/>
        <v>-1.4499999999999886</v>
      </c>
      <c r="H157" s="64">
        <f t="shared" si="13"/>
        <v>-0.003419408088668762</v>
      </c>
      <c r="I157" s="56">
        <f t="shared" si="16"/>
        <v>0.22748925293365882</v>
      </c>
    </row>
    <row r="158" spans="1:9" ht="11.25">
      <c r="A158" s="52" t="s">
        <v>294</v>
      </c>
      <c r="B158" s="53">
        <v>9.054784584448171</v>
      </c>
      <c r="C158" s="63">
        <f t="shared" si="14"/>
        <v>-0.05551053034760578</v>
      </c>
      <c r="D158" s="64">
        <f t="shared" si="11"/>
        <v>-0.006093164891821415</v>
      </c>
      <c r="E158" s="56">
        <f t="shared" si="15"/>
        <v>-0.10594811850656174</v>
      </c>
      <c r="F158" s="5">
        <v>431.73</v>
      </c>
      <c r="G158" s="65">
        <f t="shared" si="12"/>
        <v>9.129999999999995</v>
      </c>
      <c r="H158" s="64">
        <f t="shared" si="13"/>
        <v>0.021604353999053468</v>
      </c>
      <c r="I158" s="56">
        <f t="shared" si="16"/>
        <v>0.2540083652840713</v>
      </c>
    </row>
    <row r="159" spans="1:9" ht="11.25">
      <c r="A159" s="52" t="s">
        <v>295</v>
      </c>
      <c r="B159" s="53">
        <v>9.079764323104595</v>
      </c>
      <c r="C159" s="63">
        <f t="shared" si="14"/>
        <v>0.024979738656423223</v>
      </c>
      <c r="D159" s="64">
        <f t="shared" si="11"/>
        <v>0.0027587336201599514</v>
      </c>
      <c r="E159" s="56">
        <f t="shared" si="15"/>
        <v>-0.10348166752291853</v>
      </c>
      <c r="F159" s="5">
        <v>427.97</v>
      </c>
      <c r="G159" s="65">
        <f t="shared" si="12"/>
        <v>-3.759999999999991</v>
      </c>
      <c r="H159" s="64">
        <f t="shared" si="13"/>
        <v>-0.008709146920529013</v>
      </c>
      <c r="I159" s="56">
        <f t="shared" si="16"/>
        <v>0.24308702219123987</v>
      </c>
    </row>
    <row r="160" spans="1:9" ht="11.25">
      <c r="A160" s="52" t="s">
        <v>296</v>
      </c>
      <c r="B160" s="53">
        <v>9.236581571336584</v>
      </c>
      <c r="C160" s="63">
        <f t="shared" si="14"/>
        <v>0.15681724823198984</v>
      </c>
      <c r="D160" s="64">
        <f t="shared" si="11"/>
        <v>0.017271070333064565</v>
      </c>
      <c r="E160" s="56">
        <f t="shared" si="15"/>
        <v>-0.0879978363478251</v>
      </c>
      <c r="F160" s="5">
        <v>429.75</v>
      </c>
      <c r="G160" s="65">
        <f t="shared" si="12"/>
        <v>1.7799999999999727</v>
      </c>
      <c r="H160" s="64">
        <f t="shared" si="13"/>
        <v>0.004159170035282783</v>
      </c>
      <c r="I160" s="56">
        <f t="shared" si="16"/>
        <v>0.24825723248518658</v>
      </c>
    </row>
    <row r="161" spans="1:9" ht="11.25">
      <c r="A161" s="52" t="s">
        <v>297</v>
      </c>
      <c r="B161" s="53">
        <v>9.318459603599305</v>
      </c>
      <c r="C161" s="63">
        <f t="shared" si="14"/>
        <v>0.08187803226272017</v>
      </c>
      <c r="D161" s="64">
        <f t="shared" si="11"/>
        <v>0.008864538425861806</v>
      </c>
      <c r="E161" s="56">
        <f t="shared" si="15"/>
        <v>-0.07991335812366128</v>
      </c>
      <c r="F161" s="5">
        <v>442.3</v>
      </c>
      <c r="G161" s="65">
        <f t="shared" si="12"/>
        <v>12.550000000000011</v>
      </c>
      <c r="H161" s="64">
        <f t="shared" si="13"/>
        <v>0.029203025014543367</v>
      </c>
      <c r="I161" s="56">
        <f t="shared" si="16"/>
        <v>0.2847101196700362</v>
      </c>
    </row>
    <row r="162" spans="1:9" ht="11.25">
      <c r="A162" s="52" t="s">
        <v>302</v>
      </c>
      <c r="B162" s="53">
        <v>9.207466603477181</v>
      </c>
      <c r="C162" s="63">
        <f t="shared" si="14"/>
        <v>-0.11099300012212332</v>
      </c>
      <c r="D162" s="64">
        <f t="shared" si="11"/>
        <v>-0.01191108883267055</v>
      </c>
      <c r="E162" s="56">
        <f t="shared" si="15"/>
        <v>-0.09087259184880389</v>
      </c>
      <c r="F162" s="5">
        <v>446.2</v>
      </c>
      <c r="G162" s="65">
        <f t="shared" si="12"/>
        <v>3.8999999999999773</v>
      </c>
      <c r="H162" s="64">
        <f t="shared" si="13"/>
        <v>0.008817544652950435</v>
      </c>
      <c r="I162" s="56">
        <f t="shared" si="16"/>
        <v>0.296038108516324</v>
      </c>
    </row>
    <row r="163" spans="1:9" ht="11.25">
      <c r="A163" s="52" t="s">
        <v>303</v>
      </c>
      <c r="B163" s="53">
        <v>9.44453126214293</v>
      </c>
      <c r="C163" s="63">
        <f t="shared" si="14"/>
        <v>0.23706465866574788</v>
      </c>
      <c r="D163" s="64">
        <f aca="true" t="shared" si="17" ref="D163:D168">$C163/$B162</f>
        <v>0.02574700174054619</v>
      </c>
      <c r="E163" s="56">
        <f t="shared" si="15"/>
        <v>-0.06746528688875679</v>
      </c>
      <c r="F163" s="5">
        <v>454.19</v>
      </c>
      <c r="G163" s="65">
        <f t="shared" si="12"/>
        <v>7.990000000000009</v>
      </c>
      <c r="H163" s="64">
        <f t="shared" si="13"/>
        <v>0.01790676826535188</v>
      </c>
      <c r="I163" s="56">
        <f t="shared" si="16"/>
        <v>0.3192459625885908</v>
      </c>
    </row>
    <row r="164" spans="1:9" ht="11.25">
      <c r="A164" s="52" t="s">
        <v>304</v>
      </c>
      <c r="B164" s="53">
        <v>9.455633368212451</v>
      </c>
      <c r="C164" s="63">
        <f t="shared" si="14"/>
        <v>0.011102106069522222</v>
      </c>
      <c r="D164" s="64">
        <f t="shared" si="17"/>
        <v>0.0011755063074462412</v>
      </c>
      <c r="E164" s="56">
        <f t="shared" si="15"/>
        <v>-0.06636908645158196</v>
      </c>
      <c r="F164" s="5">
        <v>452.66</v>
      </c>
      <c r="G164" s="65">
        <f t="shared" si="12"/>
        <v>-1.5299999999999727</v>
      </c>
      <c r="H164" s="64">
        <f t="shared" si="13"/>
        <v>-0.0033686342720006444</v>
      </c>
      <c r="I164" s="56">
        <f t="shared" si="16"/>
        <v>0.3148019054258164</v>
      </c>
    </row>
    <row r="165" spans="1:9" ht="11.25">
      <c r="A165" s="52" t="s">
        <v>305</v>
      </c>
      <c r="B165" s="53">
        <v>9.436898564220133</v>
      </c>
      <c r="C165" s="63">
        <f t="shared" si="14"/>
        <v>-0.018734803992318305</v>
      </c>
      <c r="D165" s="64">
        <f t="shared" si="17"/>
        <v>-0.0019813378187124066</v>
      </c>
      <c r="E165" s="56">
        <f t="shared" si="15"/>
        <v>-0.06821892468931445</v>
      </c>
      <c r="F165" s="5">
        <v>458.79</v>
      </c>
      <c r="G165" s="65">
        <f t="shared" si="12"/>
        <v>6.1299999999999955</v>
      </c>
      <c r="H165" s="64">
        <f t="shared" si="13"/>
        <v>0.01354217293332743</v>
      </c>
      <c r="I165" s="56">
        <f t="shared" si="16"/>
        <v>0.3326071802021612</v>
      </c>
    </row>
    <row r="166" spans="1:9" ht="11.25">
      <c r="A166" s="52" t="s">
        <v>307</v>
      </c>
      <c r="B166" s="53">
        <v>9.43807811400382</v>
      </c>
      <c r="C166" s="63">
        <f t="shared" si="14"/>
        <v>0.0011795497836875057</v>
      </c>
      <c r="D166" s="64">
        <f t="shared" si="17"/>
        <v>0.00012499337315754902</v>
      </c>
      <c r="E166" s="56">
        <f t="shared" si="15"/>
        <v>-0.068102458229667</v>
      </c>
      <c r="F166" s="5">
        <v>450.02</v>
      </c>
      <c r="G166" s="65">
        <f t="shared" si="12"/>
        <v>-8.770000000000039</v>
      </c>
      <c r="H166" s="64">
        <f t="shared" si="13"/>
        <v>-0.0191154994659867</v>
      </c>
      <c r="I166" s="56">
        <f t="shared" si="16"/>
        <v>0.30713372836063674</v>
      </c>
    </row>
    <row r="167" spans="1:9" ht="11.25">
      <c r="A167" s="52" t="s">
        <v>309</v>
      </c>
      <c r="B167" s="53">
        <v>9.650252026549971</v>
      </c>
      <c r="C167" s="63">
        <f t="shared" si="14"/>
        <v>0.2121739125461506</v>
      </c>
      <c r="D167" s="64">
        <f t="shared" si="17"/>
        <v>0.022480626880099237</v>
      </c>
      <c r="E167" s="56">
        <f t="shared" si="15"/>
        <v>-0.047152817302646456</v>
      </c>
      <c r="F167" s="5">
        <v>453.89</v>
      </c>
      <c r="G167" s="65">
        <f t="shared" si="12"/>
        <v>3.8700000000000045</v>
      </c>
      <c r="H167" s="64">
        <f t="shared" si="13"/>
        <v>0.008599617794764687</v>
      </c>
      <c r="I167" s="56">
        <f t="shared" si="16"/>
        <v>0.318374578831184</v>
      </c>
    </row>
    <row r="168" spans="1:9" ht="11.25">
      <c r="A168" s="52" t="s">
        <v>310</v>
      </c>
      <c r="B168" s="53">
        <v>9.703870133513375</v>
      </c>
      <c r="C168" s="63">
        <f t="shared" si="14"/>
        <v>0.05361810696340363</v>
      </c>
      <c r="D168" s="64">
        <f t="shared" si="17"/>
        <v>0.005556135406193372</v>
      </c>
      <c r="E168" s="56">
        <f t="shared" si="15"/>
        <v>-0.04185866933417008</v>
      </c>
      <c r="F168" s="5">
        <v>459.34</v>
      </c>
      <c r="G168" s="65">
        <f t="shared" si="12"/>
        <v>5.449999999999989</v>
      </c>
      <c r="H168" s="64">
        <f t="shared" si="13"/>
        <v>0.012007314547577582</v>
      </c>
      <c r="I168" s="56">
        <f t="shared" si="16"/>
        <v>0.3342047170907401</v>
      </c>
    </row>
    <row r="169" spans="1:9" ht="11.25">
      <c r="A169" s="52" t="s">
        <v>312</v>
      </c>
      <c r="B169" s="53">
        <v>9.692773902022706</v>
      </c>
      <c r="C169" s="63">
        <f t="shared" si="14"/>
        <v>-0.011096231490668629</v>
      </c>
      <c r="D169" s="64">
        <f aca="true" t="shared" si="18" ref="D169:D280">$C169/$B168</f>
        <v>-0.001143485159838092</v>
      </c>
      <c r="E169" s="56">
        <f t="shared" si="15"/>
        <v>-0.042954289726813984</v>
      </c>
      <c r="F169" s="5">
        <v>457.51</v>
      </c>
      <c r="G169" s="65">
        <f t="shared" si="12"/>
        <v>-1.829999999999984</v>
      </c>
      <c r="H169" s="64">
        <f t="shared" si="13"/>
        <v>-0.003983977010493282</v>
      </c>
      <c r="I169" s="56">
        <f t="shared" si="16"/>
        <v>0.3288892761705589</v>
      </c>
    </row>
    <row r="170" spans="1:9" ht="11.25">
      <c r="A170" s="52" t="s">
        <v>313</v>
      </c>
      <c r="B170" s="53">
        <v>9.69992298295116</v>
      </c>
      <c r="C170" s="63">
        <f t="shared" si="14"/>
        <v>0.007149080928453344</v>
      </c>
      <c r="D170" s="64">
        <f t="shared" si="18"/>
        <v>0.000737568110090906</v>
      </c>
      <c r="E170" s="56">
        <f t="shared" si="15"/>
        <v>-0.04224840333101718</v>
      </c>
      <c r="F170" s="5">
        <v>461.82</v>
      </c>
      <c r="G170" s="65">
        <f t="shared" si="12"/>
        <v>4.310000000000002</v>
      </c>
      <c r="H170" s="64">
        <f t="shared" si="13"/>
        <v>0.009420559113462006</v>
      </c>
      <c r="I170" s="56">
        <f t="shared" si="16"/>
        <v>0.3414081561519694</v>
      </c>
    </row>
    <row r="171" spans="1:9" ht="11.25">
      <c r="A171" s="52" t="s">
        <v>315</v>
      </c>
      <c r="B171" s="53">
        <v>9.898699603626358</v>
      </c>
      <c r="C171" s="63">
        <f t="shared" si="14"/>
        <v>0.19877662067519886</v>
      </c>
      <c r="D171" s="64">
        <f t="shared" si="18"/>
        <v>0.02049259783037184</v>
      </c>
      <c r="E171" s="56">
        <f t="shared" si="15"/>
        <v>-0.02262158503908322</v>
      </c>
      <c r="F171" s="5">
        <v>477.73</v>
      </c>
      <c r="G171" s="65">
        <f t="shared" si="12"/>
        <v>15.910000000000025</v>
      </c>
      <c r="H171" s="64">
        <f t="shared" si="13"/>
        <v>0.03445065176908758</v>
      </c>
      <c r="I171" s="56">
        <f t="shared" si="16"/>
        <v>0.38762054141977476</v>
      </c>
    </row>
    <row r="172" spans="1:9" ht="11.25">
      <c r="A172" s="52" t="s">
        <v>317</v>
      </c>
      <c r="B172" s="53">
        <v>9.853139154286604</v>
      </c>
      <c r="C172" s="63">
        <f t="shared" si="14"/>
        <v>-0.04556044933975478</v>
      </c>
      <c r="D172" s="64">
        <f t="shared" si="18"/>
        <v>-0.004602670165186532</v>
      </c>
      <c r="E172" s="56">
        <f t="shared" si="15"/>
        <v>-0.027120135509721133</v>
      </c>
      <c r="F172" s="5">
        <v>489.8</v>
      </c>
      <c r="G172" s="65">
        <f t="shared" si="12"/>
        <v>12.069999999999993</v>
      </c>
      <c r="H172" s="64">
        <f t="shared" si="13"/>
        <v>0.025265317229397344</v>
      </c>
      <c r="I172" s="56">
        <f t="shared" si="16"/>
        <v>0.42267921459277347</v>
      </c>
    </row>
    <row r="173" spans="1:9" ht="11.25">
      <c r="A173" s="52" t="s">
        <v>318</v>
      </c>
      <c r="B173" s="53">
        <v>9.86958204042205</v>
      </c>
      <c r="C173" s="63">
        <f t="shared" si="14"/>
        <v>0.016442886135445534</v>
      </c>
      <c r="D173" s="64">
        <f t="shared" si="18"/>
        <v>0.0016687967030580364</v>
      </c>
      <c r="E173" s="56">
        <f t="shared" si="15"/>
        <v>-0.025496596799388205</v>
      </c>
      <c r="F173" s="5">
        <v>495.72</v>
      </c>
      <c r="G173" s="65">
        <f t="shared" si="12"/>
        <v>5.920000000000016</v>
      </c>
      <c r="H173" s="64">
        <f t="shared" si="13"/>
        <v>0.012086565945283822</v>
      </c>
      <c r="I173" s="56">
        <f t="shared" si="16"/>
        <v>0.4398745207389336</v>
      </c>
    </row>
    <row r="174" spans="1:9" ht="11.25">
      <c r="A174" s="52" t="s">
        <v>321</v>
      </c>
      <c r="B174" s="53">
        <v>9.812013723089787</v>
      </c>
      <c r="C174" s="63">
        <f t="shared" si="14"/>
        <v>-0.05756831733226164</v>
      </c>
      <c r="D174" s="64">
        <f t="shared" si="18"/>
        <v>-0.005832903267482223</v>
      </c>
      <c r="E174" s="56">
        <f t="shared" si="15"/>
        <v>-0.031180780884089602</v>
      </c>
      <c r="F174" s="5">
        <v>489.33</v>
      </c>
      <c r="G174" s="65">
        <f t="shared" si="12"/>
        <v>-6.390000000000043</v>
      </c>
      <c r="H174" s="64">
        <f t="shared" si="13"/>
        <v>-0.012890341321713957</v>
      </c>
      <c r="I174" s="56">
        <f t="shared" si="16"/>
        <v>0.42131404670616945</v>
      </c>
    </row>
    <row r="175" spans="1:9" ht="11.25">
      <c r="A175" s="52" t="s">
        <v>323</v>
      </c>
      <c r="B175" s="53">
        <v>9.9661836533119</v>
      </c>
      <c r="C175" s="63">
        <f t="shared" si="14"/>
        <v>0.15416993022211223</v>
      </c>
      <c r="D175" s="64">
        <f t="shared" si="18"/>
        <v>0.015712363901338323</v>
      </c>
      <c r="E175" s="56">
        <f t="shared" si="15"/>
        <v>-0.015958340758729987</v>
      </c>
      <c r="F175" s="5">
        <v>496.64</v>
      </c>
      <c r="G175" s="65">
        <f t="shared" si="12"/>
        <v>7.310000000000002</v>
      </c>
      <c r="H175" s="64">
        <f t="shared" si="13"/>
        <v>0.014938793860993609</v>
      </c>
      <c r="I175" s="56">
        <f t="shared" si="16"/>
        <v>0.4425467642616476</v>
      </c>
    </row>
    <row r="176" spans="1:9" ht="11.25">
      <c r="A176" s="52" t="s">
        <v>326</v>
      </c>
      <c r="B176" s="53">
        <v>9.972239982922275</v>
      </c>
      <c r="C176" s="63">
        <f t="shared" si="14"/>
        <v>0.006056329610375499</v>
      </c>
      <c r="D176" s="64">
        <f t="shared" si="18"/>
        <v>0.0006076879396420613</v>
      </c>
      <c r="E176" s="56">
        <f aca="true" t="shared" si="19" ref="E176:E181">(B176-$B$3)/$B$3</f>
        <v>-0.015360350510303704</v>
      </c>
      <c r="F176" s="5">
        <v>482.52</v>
      </c>
      <c r="G176" s="65">
        <f t="shared" si="12"/>
        <v>-14.120000000000005</v>
      </c>
      <c r="H176" s="64">
        <f t="shared" si="13"/>
        <v>-0.028431056701030938</v>
      </c>
      <c r="I176" s="56">
        <f aca="true" t="shared" si="20" ref="I176:I181">(F176-$F$3)/$F$3</f>
        <v>0.40153363541303594</v>
      </c>
    </row>
    <row r="177" spans="1:9" ht="11.25">
      <c r="A177" s="52" t="s">
        <v>329</v>
      </c>
      <c r="B177" s="53">
        <v>9.926475084370242</v>
      </c>
      <c r="C177" s="63">
        <f t="shared" si="14"/>
        <v>-0.04576489855203292</v>
      </c>
      <c r="D177" s="64">
        <f t="shared" si="18"/>
        <v>-0.00458922956431118</v>
      </c>
      <c r="E177" s="56">
        <f t="shared" si="19"/>
        <v>-0.019879087899934814</v>
      </c>
      <c r="F177" s="5">
        <v>474.28</v>
      </c>
      <c r="G177" s="65">
        <f t="shared" si="12"/>
        <v>-8.240000000000009</v>
      </c>
      <c r="H177" s="64">
        <f t="shared" si="13"/>
        <v>-0.01707701235181963</v>
      </c>
      <c r="I177" s="56">
        <f t="shared" si="20"/>
        <v>0.37759962820959686</v>
      </c>
    </row>
    <row r="178" spans="1:9" ht="11.25">
      <c r="A178" s="52" t="s">
        <v>332</v>
      </c>
      <c r="B178" s="53">
        <v>9.989983413018553</v>
      </c>
      <c r="C178" s="63">
        <f t="shared" si="14"/>
        <v>0.06350832864831091</v>
      </c>
      <c r="D178" s="64">
        <f t="shared" si="18"/>
        <v>0.006397873173359203</v>
      </c>
      <c r="E178" s="56">
        <f t="shared" si="19"/>
        <v>-0.013608398609761454</v>
      </c>
      <c r="F178" s="5">
        <v>484.39</v>
      </c>
      <c r="G178" s="65">
        <f t="shared" si="12"/>
        <v>10.110000000000014</v>
      </c>
      <c r="H178" s="64">
        <f t="shared" si="13"/>
        <v>0.02131652188580588</v>
      </c>
      <c r="I178" s="56">
        <f t="shared" si="20"/>
        <v>0.4069652608342048</v>
      </c>
    </row>
    <row r="179" spans="1:9" ht="11.25">
      <c r="A179" s="52" t="s">
        <v>336</v>
      </c>
      <c r="B179" s="53">
        <v>10.19493993072335</v>
      </c>
      <c r="C179" s="63">
        <f t="shared" si="14"/>
        <v>0.2049565177047974</v>
      </c>
      <c r="D179" s="64">
        <f t="shared" si="18"/>
        <v>0.020516202002668606</v>
      </c>
      <c r="E179" s="56">
        <f t="shared" si="19"/>
        <v>0.006628610738096451</v>
      </c>
      <c r="F179" s="5">
        <v>494.2</v>
      </c>
      <c r="G179" s="65">
        <f t="shared" si="12"/>
        <v>9.810000000000002</v>
      </c>
      <c r="H179" s="64">
        <f t="shared" si="13"/>
        <v>0.02025227605854787</v>
      </c>
      <c r="I179" s="56">
        <f t="shared" si="20"/>
        <v>0.4354595097014059</v>
      </c>
    </row>
    <row r="180" spans="1:9" ht="11.25">
      <c r="A180" s="52" t="s">
        <v>338</v>
      </c>
      <c r="B180" s="53">
        <v>10.409477708617427</v>
      </c>
      <c r="C180" s="63">
        <f t="shared" si="14"/>
        <v>0.21453777789407624</v>
      </c>
      <c r="D180" s="64">
        <f t="shared" si="18"/>
        <v>0.02104355487642921</v>
      </c>
      <c r="E180" s="56">
        <f t="shared" si="19"/>
        <v>0.027811655148347283</v>
      </c>
      <c r="F180" s="5">
        <v>503.19</v>
      </c>
      <c r="G180" s="65">
        <f t="shared" si="12"/>
        <v>8.990000000000009</v>
      </c>
      <c r="H180" s="64">
        <f t="shared" si="13"/>
        <v>0.01819101578308379</v>
      </c>
      <c r="I180" s="56">
        <f t="shared" si="20"/>
        <v>0.4615719762983619</v>
      </c>
    </row>
    <row r="181" spans="1:9" ht="11.25">
      <c r="A181" s="52" t="s">
        <v>341</v>
      </c>
      <c r="B181" s="53">
        <v>10.501229262463804</v>
      </c>
      <c r="C181" s="63">
        <f t="shared" si="14"/>
        <v>0.09175155384637712</v>
      </c>
      <c r="D181" s="64">
        <f t="shared" si="18"/>
        <v>0.008814232223238358</v>
      </c>
      <c r="E181" s="56">
        <f t="shared" si="19"/>
        <v>0.036871025758575794</v>
      </c>
      <c r="F181" s="5">
        <v>495.08</v>
      </c>
      <c r="G181" s="65">
        <f t="shared" si="12"/>
        <v>-8.110000000000014</v>
      </c>
      <c r="H181" s="64">
        <f t="shared" si="13"/>
        <v>-0.016117172439833887</v>
      </c>
      <c r="I181" s="56">
        <f t="shared" si="20"/>
        <v>0.4380155687231324</v>
      </c>
    </row>
    <row r="182" spans="1:9" ht="11.25">
      <c r="A182" s="52" t="s">
        <v>344</v>
      </c>
      <c r="B182" s="53">
        <v>10.46352466804738</v>
      </c>
      <c r="C182" s="63">
        <f t="shared" si="14"/>
        <v>-0.037704594416423376</v>
      </c>
      <c r="D182" s="64">
        <f t="shared" si="18"/>
        <v>-0.003590493405490807</v>
      </c>
      <c r="E182" s="56">
        <f aca="true" t="shared" si="21" ref="E182:E187">(B182-$B$3)/$B$3</f>
        <v>0.033148147178245144</v>
      </c>
      <c r="F182" s="5">
        <v>493.04</v>
      </c>
      <c r="G182" s="65">
        <f t="shared" si="12"/>
        <v>-2.0399999999999636</v>
      </c>
      <c r="H182" s="64">
        <f t="shared" si="13"/>
        <v>-0.0041205461743555865</v>
      </c>
      <c r="I182" s="56">
        <f aca="true" t="shared" si="22" ref="I182:I187">(F182-$F$3)/$F$3</f>
        <v>0.43209015917276655</v>
      </c>
    </row>
    <row r="183" spans="1:9" ht="11.25">
      <c r="A183" s="52" t="s">
        <v>347</v>
      </c>
      <c r="B183" s="53">
        <v>10.431304642512211</v>
      </c>
      <c r="C183" s="63">
        <f t="shared" si="14"/>
        <v>-0.03222002553516923</v>
      </c>
      <c r="D183" s="64">
        <f t="shared" si="18"/>
        <v>-0.003079270757927297</v>
      </c>
      <c r="E183" s="56">
        <f t="shared" si="21"/>
        <v>0.029966804300032405</v>
      </c>
      <c r="F183" s="5">
        <v>487.44</v>
      </c>
      <c r="G183" s="65">
        <f t="shared" si="12"/>
        <v>-5.600000000000023</v>
      </c>
      <c r="H183" s="64">
        <f t="shared" si="13"/>
        <v>-0.011358104819081661</v>
      </c>
      <c r="I183" s="56">
        <f t="shared" si="22"/>
        <v>0.4158243290345069</v>
      </c>
    </row>
    <row r="184" spans="1:9" ht="11.25">
      <c r="A184" s="52" t="s">
        <v>349</v>
      </c>
      <c r="B184" s="53">
        <v>10.474051345916475</v>
      </c>
      <c r="C184" s="63">
        <f t="shared" si="14"/>
        <v>0.0427467034042639</v>
      </c>
      <c r="D184" s="64">
        <f t="shared" si="18"/>
        <v>0.004097924935491966</v>
      </c>
      <c r="E184" s="56">
        <f t="shared" si="21"/>
        <v>0.034187530950102483</v>
      </c>
      <c r="F184" s="5">
        <v>488.58</v>
      </c>
      <c r="G184" s="65">
        <f t="shared" si="12"/>
        <v>1.1399999999999864</v>
      </c>
      <c r="H184" s="64">
        <f t="shared" si="13"/>
        <v>0.002338749384539608</v>
      </c>
      <c r="I184" s="56">
        <f t="shared" si="22"/>
        <v>0.41913558731265255</v>
      </c>
    </row>
    <row r="185" spans="1:9" ht="11.25">
      <c r="A185" s="52" t="s">
        <v>351</v>
      </c>
      <c r="B185" s="53">
        <v>10.327485186376482</v>
      </c>
      <c r="C185" s="63">
        <f t="shared" si="14"/>
        <v>-0.14656615953999363</v>
      </c>
      <c r="D185" s="64">
        <f t="shared" si="18"/>
        <v>-0.013993263418279448</v>
      </c>
      <c r="E185" s="56">
        <f t="shared" si="21"/>
        <v>0.019715872405617667</v>
      </c>
      <c r="F185" s="5">
        <v>480.44</v>
      </c>
      <c r="G185" s="65">
        <f t="shared" si="12"/>
        <v>-8.139999999999986</v>
      </c>
      <c r="H185" s="64">
        <f t="shared" si="13"/>
        <v>-0.01666052642351301</v>
      </c>
      <c r="I185" s="56">
        <f t="shared" si="22"/>
        <v>0.3954920413616825</v>
      </c>
    </row>
    <row r="186" spans="1:9" ht="11.25">
      <c r="A186" s="52" t="s">
        <v>352</v>
      </c>
      <c r="B186" s="53">
        <v>10.124791886024669</v>
      </c>
      <c r="C186" s="63">
        <f t="shared" si="14"/>
        <v>-0.20269330035181277</v>
      </c>
      <c r="D186" s="64">
        <f t="shared" si="18"/>
        <v>-0.019626588341099337</v>
      </c>
      <c r="E186" s="56">
        <f t="shared" si="21"/>
        <v>-0.0002976712469723681</v>
      </c>
      <c r="F186" s="5">
        <v>478.9</v>
      </c>
      <c r="G186" s="65">
        <f t="shared" si="12"/>
        <v>-1.5400000000000205</v>
      </c>
      <c r="H186" s="64">
        <f t="shared" si="13"/>
        <v>-0.003205395054533387</v>
      </c>
      <c r="I186" s="56">
        <f t="shared" si="22"/>
        <v>0.391018938073661</v>
      </c>
    </row>
    <row r="187" spans="1:9" ht="11.25">
      <c r="A187" s="52" t="s">
        <v>355</v>
      </c>
      <c r="B187" s="53">
        <v>10.225374545465925</v>
      </c>
      <c r="C187" s="63">
        <f t="shared" si="14"/>
        <v>0.10058265944125644</v>
      </c>
      <c r="D187" s="64">
        <f t="shared" si="18"/>
        <v>0.009934294015474184</v>
      </c>
      <c r="E187" s="56">
        <f t="shared" si="21"/>
        <v>0.009633665614814439</v>
      </c>
      <c r="F187" s="5">
        <v>484.86</v>
      </c>
      <c r="G187" s="65">
        <f t="shared" si="12"/>
        <v>5.960000000000036</v>
      </c>
      <c r="H187" s="64">
        <f t="shared" si="13"/>
        <v>0.012445186886615237</v>
      </c>
      <c r="I187" s="56">
        <f t="shared" si="22"/>
        <v>0.40833042872080877</v>
      </c>
    </row>
    <row r="188" spans="1:9" ht="11.25">
      <c r="A188" s="52" t="s">
        <v>356</v>
      </c>
      <c r="B188" s="53">
        <v>10.223180489622857</v>
      </c>
      <c r="C188" s="63">
        <f t="shared" si="14"/>
        <v>-0.002194055843068199</v>
      </c>
      <c r="D188" s="64">
        <f t="shared" si="18"/>
        <v>-0.0002145697287969832</v>
      </c>
      <c r="E188" s="56">
        <f aca="true" t="shared" si="23" ref="E188:E193">(B188-$B$3)/$B$3</f>
        <v>0.009417028792999164</v>
      </c>
      <c r="F188" s="5">
        <v>480.48</v>
      </c>
      <c r="G188" s="65">
        <f t="shared" si="12"/>
        <v>-4.3799999999999955</v>
      </c>
      <c r="H188" s="64">
        <f t="shared" si="13"/>
        <v>-0.009033535453532969</v>
      </c>
      <c r="I188" s="56">
        <f aca="true" t="shared" si="24" ref="I188:I193">(F188-$F$3)/$F$3</f>
        <v>0.3956082258626701</v>
      </c>
    </row>
    <row r="189" spans="1:9" ht="11.25">
      <c r="A189" s="52" t="s">
        <v>357</v>
      </c>
      <c r="B189" s="53">
        <v>10.211593944009225</v>
      </c>
      <c r="C189" s="63">
        <f t="shared" si="14"/>
        <v>-0.011586545613631927</v>
      </c>
      <c r="D189" s="64">
        <f t="shared" si="18"/>
        <v>-0.0011333601735186978</v>
      </c>
      <c r="E189" s="56">
        <f t="shared" si="23"/>
        <v>0.008272995734093602</v>
      </c>
      <c r="F189" s="5">
        <v>478.29</v>
      </c>
      <c r="G189" s="65">
        <f t="shared" si="12"/>
        <v>-2.1899999999999977</v>
      </c>
      <c r="H189" s="64">
        <f t="shared" si="13"/>
        <v>-0.004557942057942053</v>
      </c>
      <c r="I189" s="56">
        <f t="shared" si="24"/>
        <v>0.3892471244336007</v>
      </c>
    </row>
    <row r="190" spans="1:9" ht="11.25">
      <c r="A190" s="52" t="s">
        <v>358</v>
      </c>
      <c r="B190" s="53">
        <v>9.977545722613883</v>
      </c>
      <c r="C190" s="63">
        <f t="shared" si="14"/>
        <v>-0.23404822139534254</v>
      </c>
      <c r="D190" s="64">
        <f t="shared" si="18"/>
        <v>-0.022919851952461368</v>
      </c>
      <c r="E190" s="56">
        <f t="shared" si="23"/>
        <v>-0.014836472055796537</v>
      </c>
      <c r="F190" s="5">
        <v>474.9</v>
      </c>
      <c r="G190" s="65">
        <f t="shared" si="12"/>
        <v>-3.390000000000043</v>
      </c>
      <c r="H190" s="64">
        <f t="shared" si="13"/>
        <v>-0.007087750109766131</v>
      </c>
      <c r="I190" s="56">
        <f t="shared" si="24"/>
        <v>0.37940048797490417</v>
      </c>
    </row>
    <row r="191" spans="1:9" ht="11.25">
      <c r="A191" s="52" t="s">
        <v>359</v>
      </c>
      <c r="B191" s="53">
        <v>10.100363106118369</v>
      </c>
      <c r="C191" s="63">
        <f t="shared" si="14"/>
        <v>0.12281738350448634</v>
      </c>
      <c r="D191" s="64">
        <f t="shared" si="18"/>
        <v>0.012309378169635796</v>
      </c>
      <c r="E191" s="56">
        <f t="shared" si="23"/>
        <v>-0.002709721631398774</v>
      </c>
      <c r="F191" s="5">
        <v>484.11</v>
      </c>
      <c r="G191" s="65">
        <f t="shared" si="12"/>
        <v>9.210000000000036</v>
      </c>
      <c r="H191" s="64">
        <f t="shared" si="13"/>
        <v>0.01939355653821865</v>
      </c>
      <c r="I191" s="56">
        <f t="shared" si="24"/>
        <v>0.4061519693272919</v>
      </c>
    </row>
    <row r="192" spans="1:9" ht="11.25">
      <c r="A192" s="52" t="s">
        <v>360</v>
      </c>
      <c r="B192" s="53">
        <v>10.192283034653174</v>
      </c>
      <c r="C192" s="63">
        <f t="shared" si="14"/>
        <v>0.09191992853480535</v>
      </c>
      <c r="D192" s="64">
        <f t="shared" si="18"/>
        <v>0.009100655844652177</v>
      </c>
      <c r="E192" s="56">
        <f t="shared" si="23"/>
        <v>0.0063662739692512335</v>
      </c>
      <c r="F192" s="5">
        <v>491.54</v>
      </c>
      <c r="G192" s="65">
        <f t="shared" si="12"/>
        <v>7.430000000000007</v>
      </c>
      <c r="H192" s="64">
        <f t="shared" si="13"/>
        <v>0.015347751544070577</v>
      </c>
      <c r="I192" s="56">
        <f t="shared" si="24"/>
        <v>0.42773324038573274</v>
      </c>
    </row>
    <row r="193" spans="1:9" ht="11.25">
      <c r="A193" s="52" t="s">
        <v>362</v>
      </c>
      <c r="B193" s="53">
        <v>10.46086847755981</v>
      </c>
      <c r="C193" s="63">
        <f t="shared" si="14"/>
        <v>0.26858544290663566</v>
      </c>
      <c r="D193" s="64">
        <f t="shared" si="18"/>
        <v>0.02635184305552158</v>
      </c>
      <c r="E193" s="56">
        <f t="shared" si="23"/>
        <v>0.032885880077258976</v>
      </c>
      <c r="F193" s="5">
        <v>494.84</v>
      </c>
      <c r="G193" s="65">
        <f t="shared" si="12"/>
        <v>3.2999999999999545</v>
      </c>
      <c r="H193" s="64">
        <f t="shared" si="13"/>
        <v>0.006713594010660281</v>
      </c>
      <c r="I193" s="56">
        <f t="shared" si="24"/>
        <v>0.43731846171720695</v>
      </c>
    </row>
    <row r="194" spans="1:9" ht="11.25">
      <c r="A194" s="52" t="s">
        <v>363</v>
      </c>
      <c r="B194" s="53">
        <v>10.317195311950789</v>
      </c>
      <c r="C194" s="63">
        <f t="shared" si="14"/>
        <v>-0.14367316560902132</v>
      </c>
      <c r="D194" s="64">
        <f t="shared" si="18"/>
        <v>-0.013734343942591633</v>
      </c>
      <c r="E194" s="56">
        <f aca="true" t="shared" si="25" ref="E194:E199">(B194-$B$3)/$B$3</f>
        <v>0.018699870146831447</v>
      </c>
      <c r="F194" s="5">
        <v>489.99</v>
      </c>
      <c r="G194" s="65">
        <f t="shared" si="12"/>
        <v>-4.849999999999966</v>
      </c>
      <c r="H194" s="64">
        <f t="shared" si="13"/>
        <v>-0.00980114784576826</v>
      </c>
      <c r="I194" s="56">
        <f aca="true" t="shared" si="26" ref="I194:I199">(F194-$F$3)/$F$3</f>
        <v>0.4232310909724644</v>
      </c>
    </row>
    <row r="195" spans="1:9" ht="11.25">
      <c r="A195" s="52" t="s">
        <v>364</v>
      </c>
      <c r="B195" s="53">
        <v>10.632435093079089</v>
      </c>
      <c r="C195" s="63">
        <f t="shared" si="14"/>
        <v>0.31523978112829987</v>
      </c>
      <c r="D195" s="64">
        <f t="shared" si="18"/>
        <v>0.030554794359969707</v>
      </c>
      <c r="E195" s="56">
        <f t="shared" si="25"/>
        <v>0.049826035193695724</v>
      </c>
      <c r="F195" s="5">
        <v>489.77</v>
      </c>
      <c r="G195" s="65">
        <f t="shared" si="12"/>
        <v>-0.22000000000002728</v>
      </c>
      <c r="H195" s="64">
        <f t="shared" si="13"/>
        <v>-0.0004489887548726041</v>
      </c>
      <c r="I195" s="56">
        <f t="shared" si="26"/>
        <v>0.4225920762170327</v>
      </c>
    </row>
    <row r="196" spans="1:9" ht="11.25">
      <c r="A196" s="52" t="s">
        <v>368</v>
      </c>
      <c r="B196" s="53">
        <v>10.64890401590521</v>
      </c>
      <c r="C196" s="63">
        <f t="shared" si="14"/>
        <v>0.016468922826121002</v>
      </c>
      <c r="D196" s="64">
        <f t="shared" si="18"/>
        <v>0.0015489323642183365</v>
      </c>
      <c r="E196" s="56">
        <f t="shared" si="25"/>
        <v>0.05145214471640626</v>
      </c>
      <c r="F196" s="5">
        <v>498.38</v>
      </c>
      <c r="G196" s="65">
        <f t="shared" si="12"/>
        <v>8.610000000000014</v>
      </c>
      <c r="H196" s="64">
        <f t="shared" si="13"/>
        <v>0.017579680258080353</v>
      </c>
      <c r="I196" s="56">
        <f t="shared" si="26"/>
        <v>0.4476007900546068</v>
      </c>
    </row>
    <row r="197" spans="1:9" ht="11.25">
      <c r="A197" s="52" t="s">
        <v>371</v>
      </c>
      <c r="B197" s="53">
        <v>10.930078734980334</v>
      </c>
      <c r="C197" s="63">
        <f t="shared" si="14"/>
        <v>0.2811747190751248</v>
      </c>
      <c r="D197" s="64">
        <f t="shared" si="18"/>
        <v>0.026404099300281238</v>
      </c>
      <c r="E197" s="56">
        <f t="shared" si="25"/>
        <v>0.07921479155499193</v>
      </c>
      <c r="F197" s="5">
        <v>503.8</v>
      </c>
      <c r="G197" s="65">
        <f t="shared" si="12"/>
        <v>5.420000000000016</v>
      </c>
      <c r="H197" s="64">
        <f t="shared" si="13"/>
        <v>0.010875235763874986</v>
      </c>
      <c r="I197" s="56">
        <f t="shared" si="26"/>
        <v>0.46334378993842235</v>
      </c>
    </row>
    <row r="198" spans="1:9" ht="11.25">
      <c r="A198" s="52" t="s">
        <v>376</v>
      </c>
      <c r="B198" s="53">
        <v>11.417950553118903</v>
      </c>
      <c r="C198" s="63">
        <f t="shared" si="14"/>
        <v>0.4878718181385686</v>
      </c>
      <c r="D198" s="64">
        <f t="shared" si="18"/>
        <v>0.04463570940044526</v>
      </c>
      <c r="E198" s="56">
        <f t="shared" si="25"/>
        <v>0.12738630937150267</v>
      </c>
      <c r="F198" s="5">
        <v>513.19</v>
      </c>
      <c r="G198" s="65">
        <f t="shared" si="12"/>
        <v>9.390000000000043</v>
      </c>
      <c r="H198" s="64">
        <f t="shared" si="13"/>
        <v>0.01863834855101239</v>
      </c>
      <c r="I198" s="56">
        <f t="shared" si="26"/>
        <v>0.49061810154525415</v>
      </c>
    </row>
    <row r="199" spans="1:9" ht="11.25">
      <c r="A199" s="52" t="s">
        <v>378</v>
      </c>
      <c r="B199" s="53">
        <v>12.06818219404234</v>
      </c>
      <c r="C199" s="63">
        <f t="shared" si="14"/>
        <v>0.6502316409234368</v>
      </c>
      <c r="D199" s="64">
        <f t="shared" si="18"/>
        <v>0.056948192050614625</v>
      </c>
      <c r="E199" s="56">
        <f t="shared" si="25"/>
        <v>0.19158892143282463</v>
      </c>
      <c r="F199" s="5">
        <v>525.15</v>
      </c>
      <c r="G199" s="65">
        <f t="shared" si="12"/>
        <v>11.959999999999923</v>
      </c>
      <c r="H199" s="64">
        <f t="shared" si="13"/>
        <v>0.02330520859720556</v>
      </c>
      <c r="I199" s="56">
        <f t="shared" si="26"/>
        <v>0.5253572673405368</v>
      </c>
    </row>
    <row r="200" spans="1:9" ht="11.25">
      <c r="A200" s="52" t="s">
        <v>380</v>
      </c>
      <c r="B200" s="53">
        <v>12.080158356563139</v>
      </c>
      <c r="C200" s="63">
        <f t="shared" si="14"/>
        <v>0.01197616252079925</v>
      </c>
      <c r="D200" s="64">
        <f t="shared" si="18"/>
        <v>0.0009923750178971844</v>
      </c>
      <c r="E200" s="56">
        <f aca="true" t="shared" si="27" ref="E200:E205">(B200-$B$3)/$B$3</f>
        <v>0.1927714245100576</v>
      </c>
      <c r="F200" s="5">
        <v>518.83</v>
      </c>
      <c r="G200" s="65">
        <f t="shared" si="12"/>
        <v>-6.319999999999936</v>
      </c>
      <c r="H200" s="64">
        <f t="shared" si="13"/>
        <v>-0.012034656764733765</v>
      </c>
      <c r="I200" s="56">
        <f aca="true" t="shared" si="28" ref="I200:I205">(F200-$F$3)/$F$3</f>
        <v>0.5070001161845012</v>
      </c>
    </row>
    <row r="201" spans="1:9" ht="11.25">
      <c r="A201" s="52" t="s">
        <v>383</v>
      </c>
      <c r="B201" s="53">
        <v>12.196756646260782</v>
      </c>
      <c r="C201" s="63">
        <f t="shared" si="14"/>
        <v>0.11659828969764341</v>
      </c>
      <c r="D201" s="64">
        <f t="shared" si="18"/>
        <v>0.00965204977087868</v>
      </c>
      <c r="E201" s="56">
        <f t="shared" si="27"/>
        <v>0.20428411366471055</v>
      </c>
      <c r="F201" s="5">
        <v>519.04</v>
      </c>
      <c r="G201" s="65">
        <f t="shared" si="12"/>
        <v>0.2099999999999227</v>
      </c>
      <c r="H201" s="64">
        <f t="shared" si="13"/>
        <v>0.00040475685677374606</v>
      </c>
      <c r="I201" s="56">
        <f t="shared" si="28"/>
        <v>0.5076100848146857</v>
      </c>
    </row>
    <row r="202" spans="1:9" ht="11.25">
      <c r="A202" s="52" t="s">
        <v>401</v>
      </c>
      <c r="B202" s="53">
        <v>12.595021225817753</v>
      </c>
      <c r="C202" s="63">
        <f t="shared" si="14"/>
        <v>0.3982645795569706</v>
      </c>
      <c r="D202" s="64">
        <f t="shared" si="18"/>
        <v>0.03265331850980797</v>
      </c>
      <c r="E202" s="56">
        <f t="shared" si="27"/>
        <v>0.24360798640450612</v>
      </c>
      <c r="F202" s="5">
        <v>520.51</v>
      </c>
      <c r="G202" s="65">
        <f t="shared" si="12"/>
        <v>1.4700000000000273</v>
      </c>
      <c r="H202" s="64">
        <f t="shared" si="13"/>
        <v>0.0028321516646116433</v>
      </c>
      <c r="I202" s="56">
        <f t="shared" si="28"/>
        <v>0.511879865225979</v>
      </c>
    </row>
    <row r="203" spans="1:9" ht="11.25">
      <c r="A203" s="52" t="s">
        <v>406</v>
      </c>
      <c r="B203" s="53">
        <v>12.734832209555565</v>
      </c>
      <c r="C203" s="63">
        <f t="shared" si="14"/>
        <v>0.13981098373781187</v>
      </c>
      <c r="D203" s="64">
        <f t="shared" si="18"/>
        <v>0.01110049607945257</v>
      </c>
      <c r="E203" s="56">
        <f t="shared" si="27"/>
        <v>0.2574126519819653</v>
      </c>
      <c r="F203" s="5">
        <v>525.94</v>
      </c>
      <c r="G203" s="65">
        <f t="shared" si="12"/>
        <v>5.430000000000064</v>
      </c>
      <c r="H203" s="64">
        <f t="shared" si="13"/>
        <v>0.010432076232925523</v>
      </c>
      <c r="I203" s="56">
        <f t="shared" si="28"/>
        <v>0.5276519112350415</v>
      </c>
    </row>
    <row r="204" spans="1:9" ht="11.25">
      <c r="A204" s="52" t="s">
        <v>407</v>
      </c>
      <c r="B204" s="53">
        <v>12.916545232587971</v>
      </c>
      <c r="C204" s="63">
        <f t="shared" si="14"/>
        <v>0.18171302303240644</v>
      </c>
      <c r="D204" s="64">
        <f t="shared" si="18"/>
        <v>0.01426897661800823</v>
      </c>
      <c r="E204" s="56">
        <f t="shared" si="27"/>
        <v>0.27535464371228363</v>
      </c>
      <c r="F204" s="5">
        <v>521.1</v>
      </c>
      <c r="G204" s="65">
        <f t="shared" si="12"/>
        <v>-4.840000000000032</v>
      </c>
      <c r="H204" s="64">
        <f t="shared" si="13"/>
        <v>-0.00920257063543376</v>
      </c>
      <c r="I204" s="56">
        <f t="shared" si="28"/>
        <v>0.5135935866155457</v>
      </c>
    </row>
    <row r="205" spans="1:9" ht="11.25">
      <c r="A205" s="52" t="s">
        <v>408</v>
      </c>
      <c r="B205" s="53">
        <v>12.89076791074677</v>
      </c>
      <c r="C205" s="63">
        <f t="shared" si="14"/>
        <v>-0.025777321841200518</v>
      </c>
      <c r="D205" s="64">
        <f t="shared" si="18"/>
        <v>-0.001995682388520212</v>
      </c>
      <c r="E205" s="56">
        <f t="shared" si="27"/>
        <v>0.2728094409107096</v>
      </c>
      <c r="F205" s="5">
        <v>530.21</v>
      </c>
      <c r="G205" s="65">
        <f t="shared" si="12"/>
        <v>9.110000000000014</v>
      </c>
      <c r="H205" s="64">
        <f t="shared" si="13"/>
        <v>0.01748224908846673</v>
      </c>
      <c r="I205" s="56">
        <f t="shared" si="28"/>
        <v>0.5400546067154643</v>
      </c>
    </row>
    <row r="206" spans="1:9" ht="11.25">
      <c r="A206" s="52" t="s">
        <v>409</v>
      </c>
      <c r="B206" s="53">
        <v>12.975629686463213</v>
      </c>
      <c r="C206" s="63">
        <f t="shared" si="14"/>
        <v>0.08486177571644227</v>
      </c>
      <c r="D206" s="64">
        <f t="shared" si="18"/>
        <v>0.0065831435570021185</v>
      </c>
      <c r="E206" s="56">
        <f aca="true" t="shared" si="29" ref="E206:E211">(B206-$B$3)/$B$3</f>
        <v>0.2811885281809324</v>
      </c>
      <c r="F206" s="5">
        <v>534.81</v>
      </c>
      <c r="G206" s="65">
        <f t="shared" si="12"/>
        <v>4.599999999999909</v>
      </c>
      <c r="H206" s="64">
        <f t="shared" si="13"/>
        <v>0.008675807698836137</v>
      </c>
      <c r="I206" s="56">
        <f aca="true" t="shared" si="30" ref="I206:I211">(F206-$F$3)/$F$3</f>
        <v>0.5534158243290345</v>
      </c>
    </row>
    <row r="207" spans="1:9" ht="11.25">
      <c r="A207" s="52" t="s">
        <v>410</v>
      </c>
      <c r="B207" s="53">
        <v>12.997352258045105</v>
      </c>
      <c r="C207" s="63">
        <f t="shared" si="14"/>
        <v>0.021722571581891614</v>
      </c>
      <c r="D207" s="64">
        <f t="shared" si="18"/>
        <v>0.0016741053888547407</v>
      </c>
      <c r="E207" s="56">
        <f t="shared" si="29"/>
        <v>0.28333337280009896</v>
      </c>
      <c r="F207" s="5">
        <v>529.53</v>
      </c>
      <c r="G207" s="65">
        <f t="shared" si="12"/>
        <v>-5.279999999999973</v>
      </c>
      <c r="H207" s="64">
        <f t="shared" si="13"/>
        <v>-0.009872665058618899</v>
      </c>
      <c r="I207" s="56">
        <f t="shared" si="30"/>
        <v>0.5380794701986755</v>
      </c>
    </row>
    <row r="208" spans="1:9" ht="11.25">
      <c r="A208" s="52" t="s">
        <v>411</v>
      </c>
      <c r="B208" s="53">
        <v>13.023354397493028</v>
      </c>
      <c r="C208" s="63">
        <f t="shared" si="14"/>
        <v>0.02600213944792351</v>
      </c>
      <c r="D208" s="64">
        <f t="shared" si="18"/>
        <v>0.0020005720343409714</v>
      </c>
      <c r="E208" s="56">
        <f t="shared" si="29"/>
        <v>0.2859007736564593</v>
      </c>
      <c r="F208" s="5">
        <v>531.06</v>
      </c>
      <c r="G208" s="65">
        <f t="shared" si="12"/>
        <v>1.5299999999999727</v>
      </c>
      <c r="H208" s="64">
        <f t="shared" si="13"/>
        <v>0.0028893547107812076</v>
      </c>
      <c r="I208" s="56">
        <f t="shared" si="30"/>
        <v>0.5425235273614499</v>
      </c>
    </row>
    <row r="209" spans="1:9" ht="11.25">
      <c r="A209" s="52" t="s">
        <v>412</v>
      </c>
      <c r="B209" s="53">
        <v>13.089571235322198</v>
      </c>
      <c r="C209" s="63">
        <f t="shared" si="14"/>
        <v>0.06621683782917032</v>
      </c>
      <c r="D209" s="64">
        <f t="shared" si="18"/>
        <v>0.005084468702004834</v>
      </c>
      <c r="E209" s="56">
        <f t="shared" si="29"/>
        <v>0.29243889589399935</v>
      </c>
      <c r="F209" s="5">
        <v>525.82</v>
      </c>
      <c r="G209" s="65">
        <f t="shared" si="12"/>
        <v>-5.239999999999895</v>
      </c>
      <c r="H209" s="64">
        <f t="shared" si="13"/>
        <v>-0.009867058336157678</v>
      </c>
      <c r="I209" s="56">
        <f t="shared" si="30"/>
        <v>0.5273033577320788</v>
      </c>
    </row>
    <row r="210" spans="1:9" ht="11.25">
      <c r="A210" s="52" t="s">
        <v>413</v>
      </c>
      <c r="B210" s="53">
        <v>13.499870589872046</v>
      </c>
      <c r="C210" s="63">
        <f t="shared" si="14"/>
        <v>0.41029935454984745</v>
      </c>
      <c r="D210" s="64">
        <f t="shared" si="18"/>
        <v>0.03134551523297073</v>
      </c>
      <c r="E210" s="56">
        <f t="shared" si="29"/>
        <v>0.3329510589929286</v>
      </c>
      <c r="F210" s="5">
        <v>535.91</v>
      </c>
      <c r="G210" s="65">
        <f t="shared" si="12"/>
        <v>10.089999999999918</v>
      </c>
      <c r="H210" s="64">
        <f t="shared" si="13"/>
        <v>0.019189076109695176</v>
      </c>
      <c r="I210" s="56">
        <f t="shared" si="30"/>
        <v>0.5566108981061927</v>
      </c>
    </row>
    <row r="211" spans="1:9" ht="11.25">
      <c r="A211" s="52" t="s">
        <v>414</v>
      </c>
      <c r="B211" s="53">
        <v>13.497939498936441</v>
      </c>
      <c r="C211" s="63">
        <f t="shared" si="14"/>
        <v>-0.001931090935604729</v>
      </c>
      <c r="D211" s="64">
        <f t="shared" si="18"/>
        <v>-0.00014304514422927014</v>
      </c>
      <c r="E211" s="56">
        <f t="shared" si="29"/>
        <v>0.3327603868164444</v>
      </c>
      <c r="F211" s="5">
        <v>537.71</v>
      </c>
      <c r="G211" s="65">
        <f t="shared" si="12"/>
        <v>1.8000000000000682</v>
      </c>
      <c r="H211" s="64">
        <f t="shared" si="13"/>
        <v>0.0033587729282903256</v>
      </c>
      <c r="I211" s="56">
        <f t="shared" si="30"/>
        <v>0.5618392006506334</v>
      </c>
    </row>
    <row r="212" spans="1:9" ht="11.25">
      <c r="A212" s="52" t="s">
        <v>416</v>
      </c>
      <c r="B212" s="53">
        <v>13.481756377568791</v>
      </c>
      <c r="C212" s="63">
        <f t="shared" si="14"/>
        <v>-0.01618312136764999</v>
      </c>
      <c r="D212" s="64">
        <f t="shared" si="18"/>
        <v>-0.001198932723689058</v>
      </c>
      <c r="E212" s="56">
        <f aca="true" t="shared" si="31" ref="E212:E217">(B212-$B$3)/$B$3</f>
        <v>0.3311624967758537</v>
      </c>
      <c r="F212" s="5">
        <v>545.23</v>
      </c>
      <c r="G212" s="65">
        <f t="shared" si="12"/>
        <v>7.519999999999982</v>
      </c>
      <c r="H212" s="64">
        <f t="shared" si="13"/>
        <v>0.0139852336761451</v>
      </c>
      <c r="I212" s="56">
        <f aca="true" t="shared" si="32" ref="I212:I217">(F212-$F$3)/$F$3</f>
        <v>0.5836818868362962</v>
      </c>
    </row>
    <row r="213" spans="1:9" ht="11.25">
      <c r="A213" s="52" t="s">
        <v>418</v>
      </c>
      <c r="B213" s="53">
        <v>13.62377340096962</v>
      </c>
      <c r="C213" s="63">
        <f t="shared" si="14"/>
        <v>0.1420170234008289</v>
      </c>
      <c r="D213" s="64">
        <f t="shared" si="18"/>
        <v>0.0105340149624065</v>
      </c>
      <c r="E213" s="56">
        <f t="shared" si="31"/>
        <v>0.3451849824342849</v>
      </c>
      <c r="F213" s="5">
        <v>541.9</v>
      </c>
      <c r="G213" s="65">
        <f t="shared" si="12"/>
        <v>-3.330000000000041</v>
      </c>
      <c r="H213" s="64">
        <f t="shared" si="13"/>
        <v>-0.006107514260037123</v>
      </c>
      <c r="I213" s="56">
        <f t="shared" si="32"/>
        <v>0.574009527129081</v>
      </c>
    </row>
    <row r="214" spans="1:9" ht="11.25">
      <c r="A214" s="52" t="s">
        <v>419</v>
      </c>
      <c r="B214" s="53">
        <v>13.652940521217362</v>
      </c>
      <c r="C214" s="63">
        <f t="shared" si="14"/>
        <v>0.029167120247741707</v>
      </c>
      <c r="D214" s="64">
        <f t="shared" si="18"/>
        <v>0.002140898808964765</v>
      </c>
      <c r="E214" s="56">
        <f t="shared" si="31"/>
        <v>0.34806488736101576</v>
      </c>
      <c r="F214" s="5">
        <v>539.88</v>
      </c>
      <c r="G214" s="65">
        <f t="shared" si="12"/>
        <v>-2.019999999999982</v>
      </c>
      <c r="H214" s="64">
        <f t="shared" si="13"/>
        <v>-0.0037276250230669533</v>
      </c>
      <c r="I214" s="56">
        <f t="shared" si="32"/>
        <v>0.5681422098292089</v>
      </c>
    </row>
    <row r="215" spans="1:9" ht="11.25">
      <c r="A215" s="52" t="s">
        <v>422</v>
      </c>
      <c r="B215" s="53">
        <v>14.040279281786503</v>
      </c>
      <c r="C215" s="63">
        <f t="shared" si="14"/>
        <v>0.3873387605691416</v>
      </c>
      <c r="D215" s="64">
        <f t="shared" si="18"/>
        <v>0.028370354354594715</v>
      </c>
      <c r="E215" s="56">
        <f t="shared" si="31"/>
        <v>0.3863099659084346</v>
      </c>
      <c r="F215" s="5">
        <v>545.43</v>
      </c>
      <c r="G215" s="65">
        <f t="shared" si="12"/>
        <v>5.5499999999999545</v>
      </c>
      <c r="H215" s="64">
        <f t="shared" si="13"/>
        <v>0.010280062236052372</v>
      </c>
      <c r="I215" s="56">
        <f t="shared" si="32"/>
        <v>0.5842628093412339</v>
      </c>
    </row>
    <row r="216" spans="1:9" ht="11.25">
      <c r="A216" s="52" t="s">
        <v>423</v>
      </c>
      <c r="B216" s="53">
        <v>14.640902486542988</v>
      </c>
      <c r="C216" s="63">
        <f t="shared" si="14"/>
        <v>0.6006232047564843</v>
      </c>
      <c r="D216" s="64">
        <f t="shared" si="18"/>
        <v>0.04277857959247519</v>
      </c>
      <c r="E216" s="56">
        <f t="shared" si="31"/>
        <v>0.4456143371248901</v>
      </c>
      <c r="F216" s="5">
        <v>557.81</v>
      </c>
      <c r="G216" s="65">
        <f t="shared" si="12"/>
        <v>12.379999999999995</v>
      </c>
      <c r="H216" s="64">
        <f t="shared" si="13"/>
        <v>0.02269768806262948</v>
      </c>
      <c r="I216" s="56">
        <f t="shared" si="32"/>
        <v>0.6202219123968862</v>
      </c>
    </row>
    <row r="217" spans="1:9" ht="11.25">
      <c r="A217" s="52" t="s">
        <v>425</v>
      </c>
      <c r="B217" s="53">
        <v>15.07720931035174</v>
      </c>
      <c r="C217" s="63">
        <f t="shared" si="14"/>
        <v>0.43630682380875285</v>
      </c>
      <c r="D217" s="64">
        <f t="shared" si="18"/>
        <v>0.029800541613454436</v>
      </c>
      <c r="E217" s="56">
        <f t="shared" si="31"/>
        <v>0.48869442733538676</v>
      </c>
      <c r="F217" s="5">
        <v>564.41</v>
      </c>
      <c r="G217" s="65">
        <f t="shared" si="12"/>
        <v>6.600000000000023</v>
      </c>
      <c r="H217" s="64">
        <f t="shared" si="13"/>
        <v>0.01183198580161708</v>
      </c>
      <c r="I217" s="56">
        <f t="shared" si="32"/>
        <v>0.639392355059835</v>
      </c>
    </row>
    <row r="218" spans="1:9" ht="11.25">
      <c r="A218" s="52" t="s">
        <v>426</v>
      </c>
      <c r="B218" s="53">
        <v>14.853237191723833</v>
      </c>
      <c r="C218" s="63">
        <f t="shared" si="14"/>
        <v>-0.22397211862790734</v>
      </c>
      <c r="D218" s="64">
        <f t="shared" si="18"/>
        <v>-0.0148550115619959</v>
      </c>
      <c r="E218" s="56">
        <f aca="true" t="shared" si="33" ref="E218:E223">(B218-$B$3)/$B$3</f>
        <v>0.46657985440504074</v>
      </c>
      <c r="F218" s="5">
        <v>557.55</v>
      </c>
      <c r="G218" s="65">
        <f t="shared" si="12"/>
        <v>-6.860000000000014</v>
      </c>
      <c r="H218" s="64">
        <f t="shared" si="13"/>
        <v>-0.012154285005581075</v>
      </c>
      <c r="I218" s="56">
        <f aca="true" t="shared" si="34" ref="I218:I223">(F218-$F$3)/$F$3</f>
        <v>0.6194667131404671</v>
      </c>
    </row>
    <row r="219" spans="1:9" ht="11.25">
      <c r="A219" s="52" t="s">
        <v>427</v>
      </c>
      <c r="B219" s="53">
        <v>15.02720022133022</v>
      </c>
      <c r="C219" s="63">
        <f t="shared" si="14"/>
        <v>0.1739630296063872</v>
      </c>
      <c r="D219" s="64">
        <f t="shared" si="18"/>
        <v>0.011712128969657789</v>
      </c>
      <c r="E219" s="56">
        <f t="shared" si="33"/>
        <v>0.4837566268041345</v>
      </c>
      <c r="F219" s="5">
        <v>560.57</v>
      </c>
      <c r="G219" s="65">
        <f t="shared" si="12"/>
        <v>3.0200000000000955</v>
      </c>
      <c r="H219" s="64">
        <f t="shared" si="13"/>
        <v>0.005416554569097114</v>
      </c>
      <c r="I219" s="56">
        <f t="shared" si="34"/>
        <v>0.6282386429650287</v>
      </c>
    </row>
    <row r="220" spans="1:9" ht="11.25">
      <c r="A220" s="52" t="s">
        <v>428</v>
      </c>
      <c r="B220" s="53">
        <v>15.083477353928107</v>
      </c>
      <c r="C220" s="63">
        <f t="shared" si="14"/>
        <v>0.05627713259788614</v>
      </c>
      <c r="D220" s="64">
        <f t="shared" si="18"/>
        <v>0.003745017818954996</v>
      </c>
      <c r="E220" s="56">
        <f t="shared" si="33"/>
        <v>0.4893133218105085</v>
      </c>
      <c r="F220" s="5">
        <v>561.66</v>
      </c>
      <c r="G220" s="65">
        <f t="shared" si="12"/>
        <v>1.0899999999999181</v>
      </c>
      <c r="H220" s="64">
        <f t="shared" si="13"/>
        <v>0.0019444493997179979</v>
      </c>
      <c r="I220" s="56">
        <f t="shared" si="34"/>
        <v>0.6314046706169397</v>
      </c>
    </row>
    <row r="221" spans="1:9" ht="11.25">
      <c r="A221" s="52" t="s">
        <v>430</v>
      </c>
      <c r="B221" s="53">
        <v>15.322644649030458</v>
      </c>
      <c r="C221" s="63">
        <f t="shared" si="14"/>
        <v>0.23916729510235157</v>
      </c>
      <c r="D221" s="64">
        <f t="shared" si="18"/>
        <v>0.015856243854807564</v>
      </c>
      <c r="E221" s="56">
        <f t="shared" si="33"/>
        <v>0.5129282370173495</v>
      </c>
      <c r="F221" s="5">
        <v>568.37</v>
      </c>
      <c r="G221" s="65">
        <f t="shared" si="12"/>
        <v>6.710000000000036</v>
      </c>
      <c r="H221" s="64">
        <f t="shared" si="13"/>
        <v>0.011946729338033752</v>
      </c>
      <c r="I221" s="56">
        <f t="shared" si="34"/>
        <v>0.6508946206576044</v>
      </c>
    </row>
    <row r="222" spans="1:9" ht="11.25">
      <c r="A222" s="52" t="s">
        <v>431</v>
      </c>
      <c r="B222" s="53">
        <v>15.522653119430693</v>
      </c>
      <c r="C222" s="63">
        <f t="shared" si="14"/>
        <v>0.20000847040023473</v>
      </c>
      <c r="D222" s="64">
        <f t="shared" si="18"/>
        <v>0.013053129859856816</v>
      </c>
      <c r="E222" s="56">
        <f t="shared" si="33"/>
        <v>0.5326766857637811</v>
      </c>
      <c r="F222" s="5">
        <v>566.54</v>
      </c>
      <c r="G222" s="65">
        <f t="shared" si="12"/>
        <v>-1.830000000000041</v>
      </c>
      <c r="H222" s="64">
        <f t="shared" si="13"/>
        <v>-0.003219733624223729</v>
      </c>
      <c r="I222" s="56">
        <f t="shared" si="34"/>
        <v>0.6455791797374231</v>
      </c>
    </row>
    <row r="223" spans="1:9" ht="11.25">
      <c r="A223" s="52" t="s">
        <v>433</v>
      </c>
      <c r="B223" s="53">
        <v>15.425255740439693</v>
      </c>
      <c r="C223" s="63">
        <f t="shared" si="14"/>
        <v>-0.09739737899099943</v>
      </c>
      <c r="D223" s="64">
        <f t="shared" si="18"/>
        <v>-0.006274531695170134</v>
      </c>
      <c r="E223" s="56">
        <f t="shared" si="33"/>
        <v>0.523059857320508</v>
      </c>
      <c r="F223" s="5">
        <v>568.83</v>
      </c>
      <c r="G223" s="65">
        <f t="shared" si="12"/>
        <v>2.2900000000000773</v>
      </c>
      <c r="H223" s="64">
        <f t="shared" si="13"/>
        <v>0.004042079994351815</v>
      </c>
      <c r="I223" s="56">
        <f t="shared" si="34"/>
        <v>0.6522307424189615</v>
      </c>
    </row>
    <row r="224" spans="1:9" ht="11.25">
      <c r="A224" s="52" t="s">
        <v>434</v>
      </c>
      <c r="B224" s="53">
        <v>14.62373284729087</v>
      </c>
      <c r="C224" s="63">
        <f t="shared" si="14"/>
        <v>-0.8015228931488227</v>
      </c>
      <c r="D224" s="64">
        <f t="shared" si="18"/>
        <v>-0.051961724760744586</v>
      </c>
      <c r="E224" s="56">
        <f aca="true" t="shared" si="35" ref="E224:E229">(B224-$B$3)/$B$3</f>
        <v>0.44391904022028084</v>
      </c>
      <c r="F224" s="5">
        <v>558.7</v>
      </c>
      <c r="G224" s="65">
        <f t="shared" si="12"/>
        <v>-10.129999999999995</v>
      </c>
      <c r="H224" s="64">
        <f t="shared" si="13"/>
        <v>-0.017808484081359974</v>
      </c>
      <c r="I224" s="56">
        <f aca="true" t="shared" si="36" ref="I224:I229">(F224-$F$3)/$F$3</f>
        <v>0.6228070175438599</v>
      </c>
    </row>
    <row r="225" spans="1:9" ht="11.25">
      <c r="A225" s="52" t="s">
        <v>435</v>
      </c>
      <c r="B225" s="53">
        <v>14.595504125448484</v>
      </c>
      <c r="C225" s="63">
        <f t="shared" si="14"/>
        <v>-0.028228721842387117</v>
      </c>
      <c r="D225" s="64">
        <f t="shared" si="18"/>
        <v>-0.0019303362648351887</v>
      </c>
      <c r="E225" s="56">
        <f t="shared" si="35"/>
        <v>0.4411317909334576</v>
      </c>
      <c r="F225" s="5">
        <v>553.32</v>
      </c>
      <c r="G225" s="65">
        <f t="shared" si="12"/>
        <v>-5.3799999999999955</v>
      </c>
      <c r="H225" s="64">
        <f t="shared" si="13"/>
        <v>-0.00962949704671558</v>
      </c>
      <c r="I225" s="56">
        <f t="shared" si="36"/>
        <v>0.607180202161032</v>
      </c>
    </row>
    <row r="226" spans="1:9" ht="11.25">
      <c r="A226" s="52" t="s">
        <v>436</v>
      </c>
      <c r="B226" s="53">
        <v>14.840730006192771</v>
      </c>
      <c r="C226" s="63">
        <f t="shared" si="14"/>
        <v>0.24522588074428775</v>
      </c>
      <c r="D226" s="64">
        <f t="shared" si="18"/>
        <v>0.01680146698850339</v>
      </c>
      <c r="E226" s="56">
        <f t="shared" si="35"/>
        <v>0.4653449191449089</v>
      </c>
      <c r="F226" s="5">
        <v>567.21</v>
      </c>
      <c r="G226" s="65">
        <f t="shared" si="12"/>
        <v>13.889999999999986</v>
      </c>
      <c r="H226" s="64">
        <f t="shared" si="13"/>
        <v>0.025103014530470587</v>
      </c>
      <c r="I226" s="56">
        <f t="shared" si="36"/>
        <v>0.647525270128965</v>
      </c>
    </row>
    <row r="227" spans="1:9" ht="11.25">
      <c r="A227" s="52" t="s">
        <v>438</v>
      </c>
      <c r="B227" s="53">
        <v>15.11903314482898</v>
      </c>
      <c r="C227" s="63">
        <f t="shared" si="14"/>
        <v>0.27830313863620937</v>
      </c>
      <c r="D227" s="64">
        <f t="shared" si="18"/>
        <v>0.018752658293768463</v>
      </c>
      <c r="E227" s="56">
        <f t="shared" si="35"/>
        <v>0.49282403169614314</v>
      </c>
      <c r="F227" s="5">
        <v>562.19</v>
      </c>
      <c r="G227" s="65">
        <f t="shared" si="12"/>
        <v>-5.019999999999982</v>
      </c>
      <c r="H227" s="64">
        <f t="shared" si="13"/>
        <v>-0.008850337617460872</v>
      </c>
      <c r="I227" s="56">
        <f t="shared" si="36"/>
        <v>0.6329441152550253</v>
      </c>
    </row>
    <row r="228" spans="1:9" ht="11.25">
      <c r="A228" s="52" t="s">
        <v>440</v>
      </c>
      <c r="B228" s="53">
        <v>15.364835817864142</v>
      </c>
      <c r="C228" s="63">
        <f t="shared" si="14"/>
        <v>0.24580267303516123</v>
      </c>
      <c r="D228" s="64">
        <f t="shared" si="18"/>
        <v>0.01625783015888359</v>
      </c>
      <c r="E228" s="56">
        <f t="shared" si="35"/>
        <v>0.5170941112605588</v>
      </c>
      <c r="F228" s="5">
        <v>566.13</v>
      </c>
      <c r="G228" s="65">
        <f t="shared" si="12"/>
        <v>3.939999999999941</v>
      </c>
      <c r="H228" s="64">
        <f t="shared" si="13"/>
        <v>0.007008306800192</v>
      </c>
      <c r="I228" s="56">
        <f t="shared" si="36"/>
        <v>0.6443882886023006</v>
      </c>
    </row>
    <row r="229" spans="1:9" ht="11.25">
      <c r="A229" s="52" t="s">
        <v>441</v>
      </c>
      <c r="B229" s="53">
        <v>15.995696912213159</v>
      </c>
      <c r="C229" s="63">
        <f t="shared" si="14"/>
        <v>0.6308610943490169</v>
      </c>
      <c r="D229" s="64">
        <f t="shared" si="18"/>
        <v>0.041058759223156646</v>
      </c>
      <c r="E229" s="56">
        <f t="shared" si="35"/>
        <v>0.579384113093675</v>
      </c>
      <c r="F229" s="5">
        <v>575.55</v>
      </c>
      <c r="G229" s="65">
        <f t="shared" si="12"/>
        <v>9.419999999999959</v>
      </c>
      <c r="H229" s="64">
        <f t="shared" si="13"/>
        <v>0.016639287796089166</v>
      </c>
      <c r="I229" s="56">
        <f t="shared" si="36"/>
        <v>0.6717497385848727</v>
      </c>
    </row>
    <row r="230" spans="1:9" ht="11.25">
      <c r="A230" s="52" t="s">
        <v>442</v>
      </c>
      <c r="B230" s="53">
        <v>15.99990078445449</v>
      </c>
      <c r="C230" s="63">
        <f t="shared" si="14"/>
        <v>0.004203872241330231</v>
      </c>
      <c r="D230" s="64">
        <f t="shared" si="18"/>
        <v>0.0002628126967147307</v>
      </c>
      <c r="E230" s="56">
        <f aca="true" t="shared" si="37" ref="E230:E235">(B230-$B$3)/$B$3</f>
        <v>0.5797991952915855</v>
      </c>
      <c r="F230" s="5">
        <v>576.68</v>
      </c>
      <c r="G230" s="65">
        <f t="shared" si="12"/>
        <v>1.1299999999999955</v>
      </c>
      <c r="H230" s="64">
        <f t="shared" si="13"/>
        <v>0.001963339414473105</v>
      </c>
      <c r="I230" s="56">
        <f aca="true" t="shared" si="38" ref="I230:I235">(F230-$F$3)/$F$3</f>
        <v>0.6750319507377716</v>
      </c>
    </row>
    <row r="231" spans="1:9" ht="11.25">
      <c r="A231" s="52" t="s">
        <v>443</v>
      </c>
      <c r="B231" s="53">
        <v>16.24542678664454</v>
      </c>
      <c r="C231" s="63">
        <f t="shared" si="14"/>
        <v>0.24552600219005072</v>
      </c>
      <c r="D231" s="64">
        <f t="shared" si="18"/>
        <v>0.015345470293703565</v>
      </c>
      <c r="E231" s="56">
        <f t="shared" si="37"/>
        <v>0.6040419569129494</v>
      </c>
      <c r="F231" s="5">
        <v>580.87</v>
      </c>
      <c r="G231" s="65">
        <f t="shared" si="12"/>
        <v>4.190000000000055</v>
      </c>
      <c r="H231" s="64">
        <f t="shared" si="13"/>
        <v>0.007265727960047262</v>
      </c>
      <c r="I231" s="56">
        <f t="shared" si="38"/>
        <v>0.6872022772162195</v>
      </c>
    </row>
    <row r="232" spans="1:9" ht="11.25">
      <c r="A232" s="52" t="s">
        <v>444</v>
      </c>
      <c r="B232" s="53">
        <v>16.431516796570026</v>
      </c>
      <c r="C232" s="63">
        <f t="shared" si="14"/>
        <v>0.1860900099254863</v>
      </c>
      <c r="D232" s="64">
        <f t="shared" si="18"/>
        <v>0.011454916658666794</v>
      </c>
      <c r="E232" s="56">
        <f t="shared" si="37"/>
        <v>0.622416123846392</v>
      </c>
      <c r="F232" s="5">
        <v>580.93</v>
      </c>
      <c r="G232" s="65">
        <f t="shared" si="12"/>
        <v>0.05999999999994543</v>
      </c>
      <c r="H232" s="64">
        <f t="shared" si="13"/>
        <v>0.0001032933358581876</v>
      </c>
      <c r="I232" s="56">
        <f t="shared" si="38"/>
        <v>0.6873765539677007</v>
      </c>
    </row>
    <row r="233" spans="1:9" ht="11.25">
      <c r="A233" s="52" t="s">
        <v>445</v>
      </c>
      <c r="B233" s="53">
        <v>16.4928232667561</v>
      </c>
      <c r="C233" s="63">
        <f t="shared" si="14"/>
        <v>0.061306470186075046</v>
      </c>
      <c r="D233" s="64">
        <f t="shared" si="18"/>
        <v>0.003731029274112563</v>
      </c>
      <c r="E233" s="56">
        <f t="shared" si="37"/>
        <v>0.6284694058992552</v>
      </c>
      <c r="F233" s="5">
        <v>578.98</v>
      </c>
      <c r="G233" s="65">
        <f t="shared" si="12"/>
        <v>-1.9499999999999318</v>
      </c>
      <c r="H233" s="64">
        <f t="shared" si="13"/>
        <v>-0.0033566866920281824</v>
      </c>
      <c r="I233" s="56">
        <f t="shared" si="38"/>
        <v>0.6817125595445569</v>
      </c>
    </row>
    <row r="234" spans="1:9" ht="11.25">
      <c r="A234" s="52" t="s">
        <v>446</v>
      </c>
      <c r="B234" s="53">
        <v>16.23583898019147</v>
      </c>
      <c r="C234" s="63">
        <f t="shared" si="14"/>
        <v>-0.2569842865646308</v>
      </c>
      <c r="D234" s="64">
        <f t="shared" si="18"/>
        <v>-0.015581582510656217</v>
      </c>
      <c r="E234" s="56">
        <f t="shared" si="37"/>
        <v>0.6030952754851565</v>
      </c>
      <c r="F234" s="5">
        <v>569.75</v>
      </c>
      <c r="G234" s="65">
        <f t="shared" si="12"/>
        <v>-9.230000000000018</v>
      </c>
      <c r="H234" s="64">
        <f t="shared" si="13"/>
        <v>-0.015941828733289608</v>
      </c>
      <c r="I234" s="56">
        <f t="shared" si="38"/>
        <v>0.6549029859416755</v>
      </c>
    </row>
    <row r="235" spans="1:9" ht="11.25">
      <c r="A235" s="52" t="s">
        <v>447</v>
      </c>
      <c r="B235" s="53">
        <v>16.241916903645716</v>
      </c>
      <c r="C235" s="63">
        <f t="shared" si="14"/>
        <v>0.006077923454245848</v>
      </c>
      <c r="D235" s="64">
        <f t="shared" si="18"/>
        <v>0.0003743522870398762</v>
      </c>
      <c r="E235" s="56">
        <f t="shared" si="37"/>
        <v>0.6036953978678773</v>
      </c>
      <c r="F235" s="5">
        <v>567.02</v>
      </c>
      <c r="G235" s="65">
        <f t="shared" si="12"/>
        <v>-2.730000000000018</v>
      </c>
      <c r="H235" s="64">
        <f t="shared" si="13"/>
        <v>-0.004791575252303674</v>
      </c>
      <c r="I235" s="56">
        <f t="shared" si="38"/>
        <v>0.6469733937492739</v>
      </c>
    </row>
    <row r="236" spans="1:9" ht="11.25">
      <c r="A236" s="52" t="s">
        <v>449</v>
      </c>
      <c r="B236" s="53">
        <v>16.135889990879058</v>
      </c>
      <c r="C236" s="63">
        <f t="shared" si="14"/>
        <v>-0.10602691276665865</v>
      </c>
      <c r="D236" s="64">
        <f t="shared" si="18"/>
        <v>-0.006527980249847202</v>
      </c>
      <c r="E236" s="56">
        <f aca="true" t="shared" si="39" ref="E236:E241">(B236-$B$3)/$B$3</f>
        <v>0.5932265059838249</v>
      </c>
      <c r="F236" s="5">
        <v>558.34</v>
      </c>
      <c r="G236" s="65">
        <f t="shared" si="12"/>
        <v>-8.67999999999995</v>
      </c>
      <c r="H236" s="64">
        <f t="shared" si="13"/>
        <v>-0.015308102006983793</v>
      </c>
      <c r="I236" s="56">
        <f aca="true" t="shared" si="40" ref="I236:I241">(F236-$F$3)/$F$3</f>
        <v>0.6217613570349717</v>
      </c>
    </row>
    <row r="237" spans="1:9" ht="11.25">
      <c r="A237" s="52" t="s">
        <v>450</v>
      </c>
      <c r="B237" s="53">
        <v>15.794325371270942</v>
      </c>
      <c r="C237" s="63">
        <f t="shared" si="14"/>
        <v>-0.3415646196081159</v>
      </c>
      <c r="D237" s="64">
        <f t="shared" si="18"/>
        <v>-0.021168006214791254</v>
      </c>
      <c r="E237" s="56">
        <f t="shared" si="39"/>
        <v>0.5595010774035891</v>
      </c>
      <c r="F237" s="5">
        <v>544.36</v>
      </c>
      <c r="G237" s="65">
        <f t="shared" si="12"/>
        <v>-13.980000000000018</v>
      </c>
      <c r="H237" s="64">
        <f t="shared" si="13"/>
        <v>-0.02503850700290149</v>
      </c>
      <c r="I237" s="56">
        <f t="shared" si="40"/>
        <v>0.5811548739398166</v>
      </c>
    </row>
    <row r="238" spans="1:9" ht="11.25">
      <c r="A238" s="52" t="s">
        <v>451</v>
      </c>
      <c r="B238" s="53">
        <v>15.775868970840754</v>
      </c>
      <c r="C238" s="63">
        <f t="shared" si="14"/>
        <v>-0.01845640043018726</v>
      </c>
      <c r="D238" s="64">
        <f t="shared" si="18"/>
        <v>-0.001168546297251701</v>
      </c>
      <c r="E238" s="56">
        <f t="shared" si="39"/>
        <v>0.5576787281940291</v>
      </c>
      <c r="F238" s="5">
        <v>544.39</v>
      </c>
      <c r="G238" s="65">
        <f t="shared" si="12"/>
        <v>0.029999999999972715</v>
      </c>
      <c r="H238" s="64">
        <f t="shared" si="13"/>
        <v>5.511058858103592E-05</v>
      </c>
      <c r="I238" s="56">
        <f t="shared" si="40"/>
        <v>0.5812420123155572</v>
      </c>
    </row>
    <row r="239" spans="1:9" ht="11.25">
      <c r="A239" s="52" t="s">
        <v>452</v>
      </c>
      <c r="B239" s="53">
        <v>16.25561140282681</v>
      </c>
      <c r="C239" s="63">
        <f t="shared" si="14"/>
        <v>0.47974243198605393</v>
      </c>
      <c r="D239" s="64">
        <f t="shared" si="18"/>
        <v>0.030409889488356132</v>
      </c>
      <c r="E239" s="56">
        <f t="shared" si="39"/>
        <v>0.6050475661767727</v>
      </c>
      <c r="F239" s="5">
        <v>560.74</v>
      </c>
      <c r="G239" s="65">
        <f t="shared" si="12"/>
        <v>16.350000000000023</v>
      </c>
      <c r="H239" s="64">
        <f t="shared" si="13"/>
        <v>0.030033615606458647</v>
      </c>
      <c r="I239" s="56">
        <f t="shared" si="40"/>
        <v>0.6287324270942258</v>
      </c>
    </row>
    <row r="240" spans="1:9" ht="11.25">
      <c r="A240" s="52" t="s">
        <v>453</v>
      </c>
      <c r="B240" s="53">
        <v>16.67599862695987</v>
      </c>
      <c r="C240" s="63">
        <f t="shared" si="14"/>
        <v>0.4203872241330622</v>
      </c>
      <c r="D240" s="64">
        <f t="shared" si="18"/>
        <v>0.025861052759907754</v>
      </c>
      <c r="E240" s="56">
        <f t="shared" si="39"/>
        <v>0.6465557859678317</v>
      </c>
      <c r="F240" s="5">
        <v>573.63</v>
      </c>
      <c r="G240" s="65">
        <f t="shared" si="12"/>
        <v>12.889999999999986</v>
      </c>
      <c r="H240" s="64">
        <f t="shared" si="13"/>
        <v>0.022987480828904637</v>
      </c>
      <c r="I240" s="56">
        <f t="shared" si="40"/>
        <v>0.6661728825374696</v>
      </c>
    </row>
    <row r="241" spans="1:9" ht="11.25">
      <c r="A241" s="52" t="s">
        <v>455</v>
      </c>
      <c r="B241" s="53">
        <v>16.78294037239078</v>
      </c>
      <c r="C241" s="63">
        <f t="shared" si="14"/>
        <v>0.10694174543090895</v>
      </c>
      <c r="D241" s="64">
        <f t="shared" si="18"/>
        <v>0.00641291402231334</v>
      </c>
      <c r="E241" s="56">
        <f t="shared" si="39"/>
        <v>0.6571150066561859</v>
      </c>
      <c r="F241" s="5">
        <v>582.15</v>
      </c>
      <c r="G241" s="65">
        <f t="shared" si="12"/>
        <v>8.519999999999982</v>
      </c>
      <c r="H241" s="64">
        <f t="shared" si="13"/>
        <v>0.01485277966633541</v>
      </c>
      <c r="I241" s="56">
        <f t="shared" si="40"/>
        <v>0.6909201812478216</v>
      </c>
    </row>
    <row r="242" spans="1:9" ht="11.25">
      <c r="A242" s="52" t="s">
        <v>456</v>
      </c>
      <c r="B242" s="53">
        <v>16.934458052293987</v>
      </c>
      <c r="C242" s="63">
        <f t="shared" si="14"/>
        <v>0.15151767990320764</v>
      </c>
      <c r="D242" s="64">
        <f t="shared" si="18"/>
        <v>0.00902807711528701</v>
      </c>
      <c r="E242" s="56">
        <f aca="true" t="shared" si="41" ref="E242:E247">(B242-$B$3)/$B$3</f>
        <v>0.6720755687251774</v>
      </c>
      <c r="F242" s="5">
        <v>578.59</v>
      </c>
      <c r="G242" s="65">
        <f t="shared" si="12"/>
        <v>-3.5599999999999454</v>
      </c>
      <c r="H242" s="64">
        <f t="shared" si="13"/>
        <v>-0.006115262389418441</v>
      </c>
      <c r="I242" s="56">
        <f aca="true" t="shared" si="42" ref="I242:I247">(F242-$F$3)/$F$3</f>
        <v>0.6805797606599282</v>
      </c>
    </row>
    <row r="243" spans="1:9" ht="11.25">
      <c r="A243" s="52" t="s">
        <v>457</v>
      </c>
      <c r="B243" s="53">
        <v>16.899535084294506</v>
      </c>
      <c r="C243" s="63">
        <f t="shared" si="14"/>
        <v>-0.03492296799948136</v>
      </c>
      <c r="D243" s="64">
        <f t="shared" si="18"/>
        <v>-0.0020622430249399447</v>
      </c>
      <c r="E243" s="56">
        <f t="shared" si="41"/>
        <v>0.6686273425464014</v>
      </c>
      <c r="F243" s="5">
        <v>568.47</v>
      </c>
      <c r="G243" s="65">
        <f t="shared" si="12"/>
        <v>-10.120000000000005</v>
      </c>
      <c r="H243" s="64">
        <f t="shared" si="13"/>
        <v>-0.017490796591714347</v>
      </c>
      <c r="I243" s="56">
        <f t="shared" si="42"/>
        <v>0.6511850819100734</v>
      </c>
    </row>
    <row r="244" spans="1:9" ht="11.25">
      <c r="A244" s="52" t="s">
        <v>458</v>
      </c>
      <c r="B244" s="53">
        <v>17.122906294417778</v>
      </c>
      <c r="C244" s="63">
        <f t="shared" si="14"/>
        <v>0.22337121012327188</v>
      </c>
      <c r="D244" s="64">
        <f t="shared" si="18"/>
        <v>0.013217594981702233</v>
      </c>
      <c r="E244" s="56">
        <f t="shared" si="41"/>
        <v>0.6906825829355738</v>
      </c>
      <c r="F244" s="5">
        <v>576.1</v>
      </c>
      <c r="G244" s="65">
        <f t="shared" si="12"/>
        <v>7.6299999999999955</v>
      </c>
      <c r="H244" s="64">
        <f t="shared" si="13"/>
        <v>0.013421992365472224</v>
      </c>
      <c r="I244" s="56">
        <f t="shared" si="42"/>
        <v>0.6733472754734521</v>
      </c>
    </row>
    <row r="245" spans="1:9" ht="11.25">
      <c r="A245" s="52" t="s">
        <v>459</v>
      </c>
      <c r="B245" s="53">
        <v>17.238150631473687</v>
      </c>
      <c r="C245" s="63">
        <f t="shared" si="14"/>
        <v>0.11524433705590909</v>
      </c>
      <c r="D245" s="64">
        <f t="shared" si="18"/>
        <v>0.006730419186693779</v>
      </c>
      <c r="E245" s="56">
        <f t="shared" si="41"/>
        <v>0.7020615854303724</v>
      </c>
      <c r="F245" s="5">
        <v>583.61</v>
      </c>
      <c r="G245" s="65">
        <f t="shared" si="12"/>
        <v>7.509999999999991</v>
      </c>
      <c r="H245" s="64">
        <f t="shared" si="13"/>
        <v>0.013035931261933675</v>
      </c>
      <c r="I245" s="56">
        <f t="shared" si="42"/>
        <v>0.6951609155338679</v>
      </c>
    </row>
    <row r="246" spans="1:9" ht="11.25">
      <c r="A246" s="52" t="s">
        <v>460</v>
      </c>
      <c r="B246" s="53">
        <v>17.17334093441984</v>
      </c>
      <c r="C246" s="63">
        <f t="shared" si="14"/>
        <v>-0.0648096970538461</v>
      </c>
      <c r="D246" s="64">
        <f t="shared" si="18"/>
        <v>-0.0037596664769546408</v>
      </c>
      <c r="E246" s="56">
        <f t="shared" si="41"/>
        <v>0.6956624015459176</v>
      </c>
      <c r="F246" s="5">
        <v>588.6</v>
      </c>
      <c r="G246" s="65">
        <f t="shared" si="12"/>
        <v>4.990000000000009</v>
      </c>
      <c r="H246" s="64">
        <f t="shared" si="13"/>
        <v>0.008550230462123694</v>
      </c>
      <c r="I246" s="56">
        <f t="shared" si="42"/>
        <v>0.7096549320320671</v>
      </c>
    </row>
    <row r="247" spans="1:9" ht="11.25">
      <c r="A247" s="52" t="s">
        <v>461</v>
      </c>
      <c r="B247" s="53">
        <v>17.022211727344004</v>
      </c>
      <c r="C247" s="63">
        <f t="shared" si="14"/>
        <v>-0.15112920707583655</v>
      </c>
      <c r="D247" s="64">
        <f t="shared" si="18"/>
        <v>-0.008800221672239344</v>
      </c>
      <c r="E247" s="56">
        <f t="shared" si="41"/>
        <v>0.6807401965310318</v>
      </c>
      <c r="F247" s="5">
        <v>592.78</v>
      </c>
      <c r="G247" s="65">
        <f t="shared" si="12"/>
        <v>4.17999999999995</v>
      </c>
      <c r="H247" s="64">
        <f t="shared" si="13"/>
        <v>0.0071015970098538056</v>
      </c>
      <c r="I247" s="56">
        <f t="shared" si="42"/>
        <v>0.7217962123852678</v>
      </c>
    </row>
    <row r="248" spans="1:9" ht="11.25">
      <c r="A248" s="52" t="s">
        <v>25</v>
      </c>
      <c r="B248" s="53">
        <v>17.084907776989766</v>
      </c>
      <c r="C248" s="63">
        <f t="shared" si="14"/>
        <v>0.06269604964576203</v>
      </c>
      <c r="D248" s="64">
        <f t="shared" si="18"/>
        <v>0.003683190565950302</v>
      </c>
      <c r="E248" s="56">
        <f aca="true" t="shared" si="43" ref="E248:E253">(B248-$B$3)/$B$3</f>
        <v>0.6869306829667083</v>
      </c>
      <c r="F248" s="5">
        <v>593.02</v>
      </c>
      <c r="G248" s="65">
        <f t="shared" si="12"/>
        <v>0.2400000000000091</v>
      </c>
      <c r="H248" s="64">
        <f t="shared" si="13"/>
        <v>0.0004048719592429048</v>
      </c>
      <c r="I248" s="56">
        <f aca="true" t="shared" si="44" ref="I248:I253">(F248-$F$3)/$F$3</f>
        <v>0.7224933193911933</v>
      </c>
    </row>
    <row r="249" spans="1:9" ht="11.25">
      <c r="A249" s="52" t="s">
        <v>23</v>
      </c>
      <c r="B249" s="53">
        <v>17.33682552169688</v>
      </c>
      <c r="C249" s="63">
        <f t="shared" si="14"/>
        <v>0.25191774470711437</v>
      </c>
      <c r="D249" s="64">
        <f t="shared" si="18"/>
        <v>0.01474504562713539</v>
      </c>
      <c r="E249" s="56">
        <f t="shared" si="43"/>
        <v>0.7118045528568672</v>
      </c>
      <c r="F249" s="5">
        <v>604.77</v>
      </c>
      <c r="G249" s="65">
        <f t="shared" si="12"/>
        <v>11.75</v>
      </c>
      <c r="H249" s="64">
        <f t="shared" si="13"/>
        <v>0.0198138342720313</v>
      </c>
      <c r="I249" s="56">
        <f t="shared" si="44"/>
        <v>0.7566225165562914</v>
      </c>
    </row>
    <row r="250" spans="1:9" ht="11.25">
      <c r="A250" s="52" t="s">
        <v>35</v>
      </c>
      <c r="B250" s="53">
        <v>17.65936972134909</v>
      </c>
      <c r="C250" s="63">
        <f t="shared" si="14"/>
        <v>0.32254419965221004</v>
      </c>
      <c r="D250" s="64">
        <f t="shared" si="18"/>
        <v>0.018604570903049632</v>
      </c>
      <c r="E250" s="56">
        <f t="shared" si="43"/>
        <v>0.7436519420326558</v>
      </c>
      <c r="F250" s="5">
        <v>609.25</v>
      </c>
      <c r="G250" s="65">
        <f t="shared" si="12"/>
        <v>4.480000000000018</v>
      </c>
      <c r="H250" s="64">
        <f t="shared" si="13"/>
        <v>0.007407774856557068</v>
      </c>
      <c r="I250" s="56">
        <f t="shared" si="44"/>
        <v>0.7696351806668992</v>
      </c>
    </row>
    <row r="251" spans="1:9" ht="11.25">
      <c r="A251" s="52" t="s">
        <v>466</v>
      </c>
      <c r="B251" s="53">
        <v>17.888831781833762</v>
      </c>
      <c r="C251" s="63">
        <f t="shared" si="14"/>
        <v>0.22946206048467133</v>
      </c>
      <c r="D251" s="64">
        <f t="shared" si="18"/>
        <v>0.012993785401483826</v>
      </c>
      <c r="E251" s="56">
        <f t="shared" si="43"/>
        <v>0.7663085811823087</v>
      </c>
      <c r="F251" s="5">
        <v>615.68</v>
      </c>
      <c r="G251" s="65">
        <f t="shared" si="12"/>
        <v>6.42999999999995</v>
      </c>
      <c r="H251" s="64">
        <f t="shared" si="13"/>
        <v>0.010553959786622815</v>
      </c>
      <c r="I251" s="56">
        <f t="shared" si="44"/>
        <v>0.7883118392006506</v>
      </c>
    </row>
    <row r="252" spans="1:9" ht="11.25">
      <c r="A252" s="52" t="s">
        <v>39</v>
      </c>
      <c r="B252" s="53">
        <v>18.012520913499685</v>
      </c>
      <c r="C252" s="63">
        <f t="shared" si="14"/>
        <v>0.12368913166592321</v>
      </c>
      <c r="D252" s="64">
        <f t="shared" si="18"/>
        <v>0.0069143213583980605</v>
      </c>
      <c r="E252" s="56">
        <f t="shared" si="43"/>
        <v>0.7785214063306993</v>
      </c>
      <c r="F252" s="5">
        <v>615.39</v>
      </c>
      <c r="G252" s="65">
        <f t="shared" si="12"/>
        <v>-0.2899999999999636</v>
      </c>
      <c r="H252" s="64">
        <f t="shared" si="13"/>
        <v>-0.00047102390852384946</v>
      </c>
      <c r="I252" s="56">
        <f t="shared" si="44"/>
        <v>0.7874695015684908</v>
      </c>
    </row>
    <row r="253" spans="1:9" ht="11.25">
      <c r="A253" s="52" t="s">
        <v>41</v>
      </c>
      <c r="B253" s="53">
        <v>18.65374740805348</v>
      </c>
      <c r="C253" s="63">
        <f t="shared" si="14"/>
        <v>0.6412264945537949</v>
      </c>
      <c r="D253" s="64">
        <f t="shared" si="18"/>
        <v>0.035598931300794244</v>
      </c>
      <c r="E253" s="56">
        <f t="shared" si="43"/>
        <v>0.8418348676916578</v>
      </c>
      <c r="F253" s="5">
        <v>624.06</v>
      </c>
      <c r="G253" s="65">
        <f t="shared" si="12"/>
        <v>8.669999999999959</v>
      </c>
      <c r="H253" s="64">
        <f t="shared" si="13"/>
        <v>0.014088626724516095</v>
      </c>
      <c r="I253" s="56">
        <f t="shared" si="44"/>
        <v>0.8126524921575462</v>
      </c>
    </row>
    <row r="254" spans="1:9" ht="11.25">
      <c r="A254" s="52" t="s">
        <v>42</v>
      </c>
      <c r="B254" s="53">
        <v>18.63485739571773</v>
      </c>
      <c r="C254" s="63">
        <f t="shared" si="14"/>
        <v>-0.018890012335749162</v>
      </c>
      <c r="D254" s="64">
        <f t="shared" si="18"/>
        <v>-0.0010126658157488333</v>
      </c>
      <c r="E254" s="56">
        <f aca="true" t="shared" si="45" ref="E254:E259">(B254-$B$3)/$B$3</f>
        <v>0.8399697044828922</v>
      </c>
      <c r="F254" s="5">
        <v>624.37</v>
      </c>
      <c r="G254" s="65">
        <f t="shared" si="12"/>
        <v>0.3100000000000591</v>
      </c>
      <c r="H254" s="64">
        <f t="shared" si="13"/>
        <v>0.0004967471076500002</v>
      </c>
      <c r="I254" s="56">
        <f aca="true" t="shared" si="46" ref="I254:I259">(F254-$F$3)/$F$3</f>
        <v>0.8135529220402</v>
      </c>
    </row>
    <row r="255" spans="1:9" ht="11.25">
      <c r="A255" s="52" t="s">
        <v>43</v>
      </c>
      <c r="B255" s="53">
        <v>18.76102961458754</v>
      </c>
      <c r="C255" s="63">
        <f t="shared" si="14"/>
        <v>0.126172218869808</v>
      </c>
      <c r="D255" s="64">
        <f t="shared" si="18"/>
        <v>0.006770763853486866</v>
      </c>
      <c r="E255" s="56">
        <f t="shared" si="45"/>
        <v>0.8524277048495159</v>
      </c>
      <c r="F255" s="5">
        <v>639.45</v>
      </c>
      <c r="G255" s="65">
        <f t="shared" si="12"/>
        <v>15.080000000000041</v>
      </c>
      <c r="H255" s="64">
        <f t="shared" si="13"/>
        <v>0.02415234556432891</v>
      </c>
      <c r="I255" s="56">
        <f t="shared" si="46"/>
        <v>0.8573544789125134</v>
      </c>
    </row>
    <row r="256" spans="1:9" ht="11.25">
      <c r="A256" s="52" t="s">
        <v>471</v>
      </c>
      <c r="B256" s="53">
        <v>18.72634766859656</v>
      </c>
      <c r="C256" s="63">
        <f t="shared" si="14"/>
        <v>-0.034681945990978846</v>
      </c>
      <c r="D256" s="64">
        <f t="shared" si="18"/>
        <v>-0.0018486163448093534</v>
      </c>
      <c r="E256" s="56">
        <f t="shared" si="45"/>
        <v>0.8490032767167535</v>
      </c>
      <c r="F256" s="5">
        <v>659.96</v>
      </c>
      <c r="G256" s="65">
        <f t="shared" si="12"/>
        <v>20.50999999999999</v>
      </c>
      <c r="H256" s="64">
        <f t="shared" si="13"/>
        <v>0.03207443897099068</v>
      </c>
      <c r="I256" s="56">
        <f t="shared" si="46"/>
        <v>0.916928081793889</v>
      </c>
    </row>
    <row r="257" spans="1:9" ht="11.25">
      <c r="A257" s="52" t="s">
        <v>46</v>
      </c>
      <c r="B257" s="53">
        <v>18.697831401892866</v>
      </c>
      <c r="C257" s="63">
        <f t="shared" si="14"/>
        <v>-0.02851626670369356</v>
      </c>
      <c r="D257" s="64">
        <f t="shared" si="18"/>
        <v>-0.0015227884907591648</v>
      </c>
      <c r="E257" s="56">
        <f t="shared" si="45"/>
        <v>0.8461876358075932</v>
      </c>
      <c r="F257" s="5">
        <v>665.06</v>
      </c>
      <c r="G257" s="65">
        <f t="shared" si="12"/>
        <v>5.099999999999909</v>
      </c>
      <c r="H257" s="64">
        <f t="shared" si="13"/>
        <v>0.007727741075216542</v>
      </c>
      <c r="I257" s="56">
        <f t="shared" si="46"/>
        <v>0.9317416056698037</v>
      </c>
    </row>
    <row r="258" spans="1:9" ht="11.25">
      <c r="A258" s="52" t="s">
        <v>47</v>
      </c>
      <c r="B258" s="53">
        <v>18.769856345003586</v>
      </c>
      <c r="C258" s="63">
        <f t="shared" si="14"/>
        <v>0.07202494311071916</v>
      </c>
      <c r="D258" s="64">
        <f t="shared" si="18"/>
        <v>0.003852047949444434</v>
      </c>
      <c r="E258" s="56">
        <f t="shared" si="45"/>
        <v>0.8532992391043955</v>
      </c>
      <c r="F258" s="5">
        <v>673.7</v>
      </c>
      <c r="G258" s="65">
        <f t="shared" si="12"/>
        <v>8.6400000000001</v>
      </c>
      <c r="H258" s="64">
        <f t="shared" si="13"/>
        <v>0.012991309054822273</v>
      </c>
      <c r="I258" s="56">
        <f t="shared" si="46"/>
        <v>0.9568374578831187</v>
      </c>
    </row>
    <row r="259" spans="1:9" ht="11.25">
      <c r="A259" s="52" t="s">
        <v>48</v>
      </c>
      <c r="B259" s="53">
        <v>18.69690795129052</v>
      </c>
      <c r="C259" s="63">
        <f t="shared" si="14"/>
        <v>-0.07294839371306594</v>
      </c>
      <c r="D259" s="64">
        <f t="shared" si="18"/>
        <v>-0.0038864652116788485</v>
      </c>
      <c r="E259" s="56">
        <f t="shared" si="45"/>
        <v>0.8460964560847853</v>
      </c>
      <c r="F259" s="5">
        <v>667.54</v>
      </c>
      <c r="G259" s="65">
        <f t="shared" si="12"/>
        <v>-6.160000000000082</v>
      </c>
      <c r="H259" s="64">
        <f t="shared" si="13"/>
        <v>-0.00914353569838219</v>
      </c>
      <c r="I259" s="56">
        <f t="shared" si="46"/>
        <v>0.9389450447310329</v>
      </c>
    </row>
    <row r="260" spans="1:9" ht="11.25">
      <c r="A260" s="52" t="s">
        <v>49</v>
      </c>
      <c r="B260" s="53">
        <v>18.783872755701555</v>
      </c>
      <c r="C260" s="63">
        <f t="shared" si="14"/>
        <v>0.0869648044110356</v>
      </c>
      <c r="D260" s="64">
        <f t="shared" si="18"/>
        <v>0.004651293392340471</v>
      </c>
      <c r="E260" s="56">
        <f aca="true" t="shared" si="47" ref="E260:E265">(B260-$B$3)/$B$3</f>
        <v>0.8546831923325957</v>
      </c>
      <c r="F260" s="5">
        <v>671</v>
      </c>
      <c r="G260" s="65">
        <f t="shared" si="12"/>
        <v>3.4600000000000364</v>
      </c>
      <c r="H260" s="64">
        <f t="shared" si="13"/>
        <v>0.005183209994906727</v>
      </c>
      <c r="I260" s="56">
        <f aca="true" t="shared" si="48" ref="I260:I265">(F260-$F$3)/$F$3</f>
        <v>0.9489950040664576</v>
      </c>
    </row>
    <row r="261" spans="1:9" ht="11.25">
      <c r="A261" s="52" t="s">
        <v>474</v>
      </c>
      <c r="B261" s="53">
        <v>19.12447641131651</v>
      </c>
      <c r="C261" s="63">
        <f t="shared" si="14"/>
        <v>0.34060365561495587</v>
      </c>
      <c r="D261" s="64">
        <f t="shared" si="18"/>
        <v>0.018132770597669795</v>
      </c>
      <c r="E261" s="56">
        <f t="shared" si="47"/>
        <v>0.8883137371905165</v>
      </c>
      <c r="F261" s="5">
        <v>664.36</v>
      </c>
      <c r="G261" s="65">
        <f t="shared" si="12"/>
        <v>-6.639999999999986</v>
      </c>
      <c r="H261" s="64">
        <f t="shared" si="13"/>
        <v>-0.009895678092399383</v>
      </c>
      <c r="I261" s="56">
        <f t="shared" si="48"/>
        <v>0.9297083769025214</v>
      </c>
    </row>
    <row r="262" spans="1:9" ht="11.25">
      <c r="A262" s="52" t="s">
        <v>53</v>
      </c>
      <c r="B262" s="53">
        <v>18.848547769225963</v>
      </c>
      <c r="C262" s="63">
        <f t="shared" si="14"/>
        <v>-0.27592864209054824</v>
      </c>
      <c r="D262" s="64">
        <f t="shared" si="18"/>
        <v>-0.014428036415536753</v>
      </c>
      <c r="E262" s="56">
        <f t="shared" si="47"/>
        <v>0.8610690778263734</v>
      </c>
      <c r="F262" s="5">
        <v>647.55</v>
      </c>
      <c r="G262" s="65">
        <f t="shared" si="12"/>
        <v>-16.81000000000006</v>
      </c>
      <c r="H262" s="64">
        <f t="shared" si="13"/>
        <v>-0.025302546811969504</v>
      </c>
      <c r="I262" s="56">
        <f t="shared" si="48"/>
        <v>0.8808818403624956</v>
      </c>
    </row>
    <row r="263" spans="1:9" ht="11.25">
      <c r="A263" s="52" t="s">
        <v>55</v>
      </c>
      <c r="B263" s="53">
        <v>19.090070091743925</v>
      </c>
      <c r="C263" s="63">
        <f t="shared" si="14"/>
        <v>0.24152232251796235</v>
      </c>
      <c r="D263" s="64">
        <f t="shared" si="18"/>
        <v>0.01281384250261954</v>
      </c>
      <c r="E263" s="56">
        <f t="shared" si="47"/>
        <v>0.8849165238761361</v>
      </c>
      <c r="F263" s="5">
        <v>653.49</v>
      </c>
      <c r="G263" s="65">
        <f t="shared" si="12"/>
        <v>5.940000000000055</v>
      </c>
      <c r="H263" s="64">
        <f t="shared" si="13"/>
        <v>0.009173036831132816</v>
      </c>
      <c r="I263" s="56">
        <f t="shared" si="48"/>
        <v>0.8981352387591497</v>
      </c>
    </row>
    <row r="264" spans="1:9" ht="11.25">
      <c r="A264" s="52" t="s">
        <v>56</v>
      </c>
      <c r="B264" s="53">
        <v>18.657823097970276</v>
      </c>
      <c r="C264" s="63">
        <f t="shared" si="14"/>
        <v>-0.4322469937736493</v>
      </c>
      <c r="D264" s="64">
        <f t="shared" si="18"/>
        <v>-0.022642504280829617</v>
      </c>
      <c r="E264" s="56">
        <f t="shared" si="47"/>
        <v>0.8422372934152641</v>
      </c>
      <c r="F264" s="5">
        <v>658.15</v>
      </c>
      <c r="G264" s="65">
        <f t="shared" si="12"/>
        <v>4.659999999999968</v>
      </c>
      <c r="H264" s="64">
        <f t="shared" si="13"/>
        <v>0.007130943090177306</v>
      </c>
      <c r="I264" s="56">
        <f t="shared" si="48"/>
        <v>0.9116707331242013</v>
      </c>
    </row>
    <row r="265" spans="1:9" ht="11.25">
      <c r="A265" s="52" t="s">
        <v>57</v>
      </c>
      <c r="B265" s="53">
        <v>18.2629237011689</v>
      </c>
      <c r="C265" s="63">
        <f t="shared" si="14"/>
        <v>-0.39489939680137454</v>
      </c>
      <c r="D265" s="64">
        <f t="shared" si="18"/>
        <v>-0.021165352181109185</v>
      </c>
      <c r="E265" s="56">
        <f t="shared" si="47"/>
        <v>0.8032456922989567</v>
      </c>
      <c r="F265" s="5">
        <v>657.38</v>
      </c>
      <c r="G265" s="65">
        <f t="shared" si="12"/>
        <v>-0.7699999999999818</v>
      </c>
      <c r="H265" s="64">
        <f t="shared" si="13"/>
        <v>-0.001169946060928332</v>
      </c>
      <c r="I265" s="56">
        <f t="shared" si="48"/>
        <v>0.9094341814801907</v>
      </c>
    </row>
    <row r="266" spans="1:9" ht="11.25">
      <c r="A266" s="52" t="s">
        <v>475</v>
      </c>
      <c r="B266" s="53">
        <v>17.585360186747078</v>
      </c>
      <c r="C266" s="63">
        <f t="shared" si="14"/>
        <v>-0.6775635144218235</v>
      </c>
      <c r="D266" s="64">
        <f t="shared" si="18"/>
        <v>-0.037100495271655584</v>
      </c>
      <c r="E266" s="56">
        <f aca="true" t="shared" si="49" ref="E266:E272">(B266-$B$3)/$B$3</f>
        <v>0.7363443840181859</v>
      </c>
      <c r="F266" s="5">
        <v>640.84</v>
      </c>
      <c r="G266" s="65">
        <f t="shared" si="12"/>
        <v>-16.539999999999964</v>
      </c>
      <c r="H266" s="64">
        <f t="shared" si="13"/>
        <v>-0.025160485563905145</v>
      </c>
      <c r="I266" s="56">
        <f aca="true" t="shared" si="50" ref="I266:I272">(F266-$F$3)/$F$3</f>
        <v>0.8613918903218313</v>
      </c>
    </row>
    <row r="267" spans="1:9" ht="11.25">
      <c r="A267" s="52" t="s">
        <v>61</v>
      </c>
      <c r="B267" s="53">
        <v>17.83194835752058</v>
      </c>
      <c r="C267" s="63">
        <f t="shared" si="14"/>
        <v>0.24658817077350292</v>
      </c>
      <c r="D267" s="64">
        <f t="shared" si="18"/>
        <v>0.014022355422628198</v>
      </c>
      <c r="E267" s="56">
        <f t="shared" si="49"/>
        <v>0.7606920221069734</v>
      </c>
      <c r="F267" s="5">
        <v>636.75</v>
      </c>
      <c r="G267" s="65">
        <f t="shared" si="12"/>
        <v>-4.090000000000032</v>
      </c>
      <c r="H267" s="64">
        <f t="shared" si="13"/>
        <v>-0.006382248299107471</v>
      </c>
      <c r="I267" s="56">
        <f t="shared" si="50"/>
        <v>0.8495120250958523</v>
      </c>
    </row>
    <row r="268" spans="1:9" ht="11.25">
      <c r="A268" s="52" t="s">
        <v>62</v>
      </c>
      <c r="B268" s="53">
        <v>17.024745356379395</v>
      </c>
      <c r="C268" s="63">
        <f t="shared" si="14"/>
        <v>-0.8072030011411861</v>
      </c>
      <c r="D268" s="64">
        <f t="shared" si="18"/>
        <v>-0.045267235243015395</v>
      </c>
      <c r="E268" s="56">
        <f t="shared" si="49"/>
        <v>0.6809903621517566</v>
      </c>
      <c r="F268" s="5">
        <v>619.03</v>
      </c>
      <c r="G268" s="65">
        <f t="shared" si="12"/>
        <v>-17.720000000000027</v>
      </c>
      <c r="H268" s="64">
        <f t="shared" si="13"/>
        <v>-0.02782881821751084</v>
      </c>
      <c r="I268" s="56">
        <f t="shared" si="50"/>
        <v>0.7980422911583596</v>
      </c>
    </row>
    <row r="269" spans="1:9" ht="11.25">
      <c r="A269" s="52" t="s">
        <v>66</v>
      </c>
      <c r="B269" s="53">
        <v>16.687407316151006</v>
      </c>
      <c r="C269" s="63">
        <f t="shared" si="14"/>
        <v>-0.33733804022838854</v>
      </c>
      <c r="D269" s="64">
        <f t="shared" si="18"/>
        <v>-0.019814571858015106</v>
      </c>
      <c r="E269" s="56">
        <f t="shared" si="49"/>
        <v>0.6476822578282697</v>
      </c>
      <c r="F269" s="5">
        <v>614.23</v>
      </c>
      <c r="G269" s="65">
        <f t="shared" si="12"/>
        <v>-4.7999999999999545</v>
      </c>
      <c r="H269" s="64">
        <f t="shared" si="13"/>
        <v>-0.007754066846517867</v>
      </c>
      <c r="I269" s="56">
        <f t="shared" si="50"/>
        <v>0.7841001510398514</v>
      </c>
    </row>
    <row r="270" spans="1:9" ht="11.25">
      <c r="A270" s="52" t="s">
        <v>67</v>
      </c>
      <c r="B270" s="53">
        <v>16.306112345885406</v>
      </c>
      <c r="C270" s="63">
        <f t="shared" si="14"/>
        <v>-0.3812949702655999</v>
      </c>
      <c r="D270" s="64">
        <f t="shared" si="18"/>
        <v>-0.022849263701771174</v>
      </c>
      <c r="E270" s="56">
        <f t="shared" si="49"/>
        <v>0.6100339314224219</v>
      </c>
      <c r="F270" s="5">
        <v>613.43</v>
      </c>
      <c r="G270" s="65">
        <f t="shared" si="12"/>
        <v>-0.8000000000000682</v>
      </c>
      <c r="H270" s="64">
        <f t="shared" si="13"/>
        <v>-0.001302443710011019</v>
      </c>
      <c r="I270" s="56">
        <f t="shared" si="50"/>
        <v>0.7817764610200999</v>
      </c>
    </row>
    <row r="271" spans="1:9" ht="11.25">
      <c r="A271" s="52" t="s">
        <v>477</v>
      </c>
      <c r="B271" s="53">
        <v>16.558236737455957</v>
      </c>
      <c r="C271" s="63">
        <f t="shared" si="14"/>
        <v>0.25212439157055044</v>
      </c>
      <c r="D271" s="64">
        <f t="shared" si="18"/>
        <v>0.015461955996775044</v>
      </c>
      <c r="E271" s="56">
        <f t="shared" si="49"/>
        <v>0.6349282052233901</v>
      </c>
      <c r="F271" s="5">
        <v>605.29</v>
      </c>
      <c r="G271" s="65">
        <f t="shared" si="12"/>
        <v>-8.139999999999986</v>
      </c>
      <c r="H271" s="64">
        <f t="shared" si="13"/>
        <v>-0.013269647718566074</v>
      </c>
      <c r="I271" s="56">
        <f t="shared" si="50"/>
        <v>0.7581329150691298</v>
      </c>
    </row>
    <row r="272" spans="1:9" ht="11.25">
      <c r="A272" s="52" t="s">
        <v>69</v>
      </c>
      <c r="B272" s="53">
        <v>16.926721402396428</v>
      </c>
      <c r="C272" s="63">
        <f t="shared" si="14"/>
        <v>0.36848466494047116</v>
      </c>
      <c r="D272" s="64">
        <f t="shared" si="18"/>
        <v>0.022253858957513972</v>
      </c>
      <c r="E272" s="56">
        <f t="shared" si="49"/>
        <v>0.6713116669080929</v>
      </c>
      <c r="F272" s="5">
        <v>605.03</v>
      </c>
      <c r="G272" s="65">
        <f t="shared" si="12"/>
        <v>-0.2599999999999909</v>
      </c>
      <c r="H272" s="64">
        <f t="shared" si="13"/>
        <v>-0.0004295461679525367</v>
      </c>
      <c r="I272" s="56">
        <f t="shared" si="50"/>
        <v>0.7573777158127106</v>
      </c>
    </row>
    <row r="273" spans="1:9" ht="11.25">
      <c r="A273" s="52" t="s">
        <v>71</v>
      </c>
      <c r="B273" s="53">
        <v>17.654827131313432</v>
      </c>
      <c r="C273" s="63">
        <f t="shared" si="14"/>
        <v>0.7281057289170043</v>
      </c>
      <c r="D273" s="64">
        <f t="shared" si="18"/>
        <v>0.04301516587931326</v>
      </c>
      <c r="E273" s="56">
        <f aca="true" t="shared" si="51" ref="E273:E278">(B273-$B$3)/$B$3</f>
        <v>0.7432034154961761</v>
      </c>
      <c r="F273" s="5">
        <v>630.82</v>
      </c>
      <c r="G273" s="65">
        <f t="shared" si="12"/>
        <v>25.790000000000077</v>
      </c>
      <c r="H273" s="64">
        <f t="shared" si="13"/>
        <v>0.042625985488323026</v>
      </c>
      <c r="I273" s="56">
        <f aca="true" t="shared" si="52" ref="I273:I278">(F273-$F$3)/$F$3</f>
        <v>0.8322876728244455</v>
      </c>
    </row>
    <row r="274" spans="1:9" ht="11.25">
      <c r="A274" s="52" t="s">
        <v>72</v>
      </c>
      <c r="B274" s="53">
        <v>18.071978397366525</v>
      </c>
      <c r="C274" s="63">
        <f t="shared" si="14"/>
        <v>0.41715126605309294</v>
      </c>
      <c r="D274" s="64">
        <f t="shared" si="18"/>
        <v>0.02362817052528449</v>
      </c>
      <c r="E274" s="56">
        <f t="shared" si="51"/>
        <v>0.7843921230577781</v>
      </c>
      <c r="F274" s="5">
        <v>635.25</v>
      </c>
      <c r="G274" s="65">
        <f t="shared" si="12"/>
        <v>4.42999999999995</v>
      </c>
      <c r="H274" s="64">
        <f t="shared" si="13"/>
        <v>0.00702260549760621</v>
      </c>
      <c r="I274" s="56">
        <f t="shared" si="52"/>
        <v>0.8451551063088185</v>
      </c>
    </row>
    <row r="275" spans="1:9" ht="11.25">
      <c r="A275" s="52" t="s">
        <v>74</v>
      </c>
      <c r="B275" s="53">
        <v>18.363109383706913</v>
      </c>
      <c r="C275" s="63">
        <f t="shared" si="14"/>
        <v>0.2911309863403879</v>
      </c>
      <c r="D275" s="64">
        <f t="shared" si="18"/>
        <v>0.01610952491968516</v>
      </c>
      <c r="E275" s="56">
        <f t="shared" si="51"/>
        <v>0.8131378324306672</v>
      </c>
      <c r="F275" s="5">
        <v>646.03</v>
      </c>
      <c r="G275" s="65">
        <f t="shared" si="12"/>
        <v>10.779999999999973</v>
      </c>
      <c r="H275" s="64">
        <f t="shared" si="13"/>
        <v>0.016969696969696926</v>
      </c>
      <c r="I275" s="56">
        <f t="shared" si="52"/>
        <v>0.8764668293249681</v>
      </c>
    </row>
    <row r="276" spans="1:9" ht="11.25">
      <c r="A276" s="52" t="s">
        <v>478</v>
      </c>
      <c r="B276" s="53">
        <v>18.72136630715536</v>
      </c>
      <c r="C276" s="63">
        <f t="shared" si="14"/>
        <v>0.3582569234484474</v>
      </c>
      <c r="D276" s="64">
        <f t="shared" si="18"/>
        <v>0.01950960025137785</v>
      </c>
      <c r="E276" s="56">
        <f t="shared" si="51"/>
        <v>0.8485114267420393</v>
      </c>
      <c r="F276" s="5">
        <v>641.15</v>
      </c>
      <c r="G276" s="65">
        <f t="shared" si="12"/>
        <v>-4.8799999999999955</v>
      </c>
      <c r="H276" s="64">
        <f t="shared" si="13"/>
        <v>-0.007553828769561778</v>
      </c>
      <c r="I276" s="56">
        <f t="shared" si="52"/>
        <v>0.8622923202044848</v>
      </c>
    </row>
    <row r="277" spans="1:9" ht="11.25">
      <c r="A277" s="52" t="s">
        <v>76</v>
      </c>
      <c r="B277" s="53">
        <v>18.611034412761974</v>
      </c>
      <c r="C277" s="63">
        <f t="shared" si="14"/>
        <v>-0.11033189439338642</v>
      </c>
      <c r="D277" s="64">
        <f t="shared" si="18"/>
        <v>-0.0058933676411863836</v>
      </c>
      <c r="E277" s="56">
        <f t="shared" si="51"/>
        <v>0.8376174693153144</v>
      </c>
      <c r="F277" s="5">
        <v>646.64</v>
      </c>
      <c r="G277" s="65">
        <f t="shared" si="12"/>
        <v>5.490000000000009</v>
      </c>
      <c r="H277" s="64">
        <f t="shared" si="13"/>
        <v>0.008562738828667253</v>
      </c>
      <c r="I277" s="56">
        <f t="shared" si="52"/>
        <v>0.8782386429650286</v>
      </c>
    </row>
    <row r="278" spans="1:9" ht="11.25">
      <c r="A278" s="52" t="s">
        <v>77</v>
      </c>
      <c r="B278" s="53">
        <v>18.565695853618084</v>
      </c>
      <c r="C278" s="63">
        <f t="shared" si="14"/>
        <v>-0.04533855914388951</v>
      </c>
      <c r="D278" s="64">
        <f t="shared" si="18"/>
        <v>-0.0024361117248163228</v>
      </c>
      <c r="E278" s="56">
        <f t="shared" si="51"/>
        <v>0.8331408278525881</v>
      </c>
      <c r="F278" s="5">
        <v>659.43</v>
      </c>
      <c r="G278" s="65">
        <f t="shared" si="12"/>
        <v>12.789999999999964</v>
      </c>
      <c r="H278" s="64">
        <f t="shared" si="13"/>
        <v>0.019779166151181436</v>
      </c>
      <c r="I278" s="56">
        <f t="shared" si="52"/>
        <v>0.9153886371558034</v>
      </c>
    </row>
    <row r="279" spans="1:9" ht="11.25">
      <c r="A279" s="52" t="s">
        <v>78</v>
      </c>
      <c r="B279" s="53">
        <v>18.403995890783214</v>
      </c>
      <c r="C279" s="63">
        <f t="shared" si="14"/>
        <v>-0.1616999628348701</v>
      </c>
      <c r="D279" s="64">
        <f t="shared" si="18"/>
        <v>-0.008709609599866303</v>
      </c>
      <c r="E279" s="56">
        <f aca="true" t="shared" si="53" ref="E279:E284">(B279-$B$3)/$B$3</f>
        <v>0.8171748869004163</v>
      </c>
      <c r="F279" s="5">
        <v>659.29</v>
      </c>
      <c r="G279" s="65">
        <f t="shared" si="12"/>
        <v>-0.13999999999998636</v>
      </c>
      <c r="H279" s="64">
        <f t="shared" si="13"/>
        <v>-0.0002123045660646109</v>
      </c>
      <c r="I279" s="56">
        <f aca="true" t="shared" si="54" ref="I279:I284">(F279-$F$3)/$F$3</f>
        <v>0.9149819914023469</v>
      </c>
    </row>
    <row r="280" spans="1:9" ht="11.25">
      <c r="A280" s="52" t="s">
        <v>484</v>
      </c>
      <c r="B280" s="53">
        <v>18.37097858471998</v>
      </c>
      <c r="C280" s="63">
        <f t="shared" si="14"/>
        <v>-0.03301730606323616</v>
      </c>
      <c r="D280" s="64">
        <f t="shared" si="18"/>
        <v>-0.0017940292020914516</v>
      </c>
      <c r="E280" s="56">
        <f t="shared" si="53"/>
        <v>0.8139148220880098</v>
      </c>
      <c r="F280" s="5">
        <v>664.36</v>
      </c>
      <c r="G280" s="65">
        <f t="shared" si="12"/>
        <v>5.07000000000005</v>
      </c>
      <c r="H280" s="64">
        <f t="shared" si="13"/>
        <v>0.007690090855314126</v>
      </c>
      <c r="I280" s="56">
        <f t="shared" si="54"/>
        <v>0.9297083769025214</v>
      </c>
    </row>
    <row r="281" spans="1:9" ht="11.25">
      <c r="A281" s="52" t="s">
        <v>80</v>
      </c>
      <c r="B281" s="53">
        <v>18.85708508692244</v>
      </c>
      <c r="C281" s="63">
        <f aca="true" t="shared" si="55" ref="C281:C286">$B281-$B280</f>
        <v>0.48610650220246043</v>
      </c>
      <c r="D281" s="64">
        <f aca="true" t="shared" si="56" ref="D281:D286">$C281/$B280</f>
        <v>0.026460566592069214</v>
      </c>
      <c r="E281" s="56">
        <f t="shared" si="53"/>
        <v>0.8619120360302109</v>
      </c>
      <c r="F281" s="5">
        <v>667.08</v>
      </c>
      <c r="G281" s="65">
        <f aca="true" t="shared" si="57" ref="G281:G286">$F281-$F280</f>
        <v>2.7200000000000273</v>
      </c>
      <c r="H281" s="64">
        <f aca="true" t="shared" si="58" ref="H281:H286">$G281/$F280</f>
        <v>0.004094165813715496</v>
      </c>
      <c r="I281" s="56">
        <f t="shared" si="54"/>
        <v>0.9376089229696761</v>
      </c>
    </row>
    <row r="282" spans="1:9" ht="11.25">
      <c r="A282" s="52" t="s">
        <v>82</v>
      </c>
      <c r="B282" s="53">
        <v>18.62013588351302</v>
      </c>
      <c r="C282" s="63">
        <f t="shared" si="55"/>
        <v>-0.23694920340942005</v>
      </c>
      <c r="D282" s="64">
        <f t="shared" si="56"/>
        <v>-0.012565526554989482</v>
      </c>
      <c r="E282" s="56">
        <f t="shared" si="53"/>
        <v>0.8385161308984188</v>
      </c>
      <c r="F282" s="5">
        <v>674</v>
      </c>
      <c r="G282" s="65">
        <f t="shared" si="57"/>
        <v>6.919999999999959</v>
      </c>
      <c r="H282" s="64">
        <f t="shared" si="58"/>
        <v>0.010373568387599626</v>
      </c>
      <c r="I282" s="56">
        <f t="shared" si="54"/>
        <v>0.9577088416405253</v>
      </c>
    </row>
    <row r="283" spans="1:9" ht="11.25">
      <c r="A283" s="52" t="s">
        <v>83</v>
      </c>
      <c r="B283" s="53">
        <v>18.56781708947045</v>
      </c>
      <c r="C283" s="63">
        <f t="shared" si="55"/>
        <v>-0.052318794042570005</v>
      </c>
      <c r="D283" s="64">
        <f t="shared" si="56"/>
        <v>-0.0028097965755929347</v>
      </c>
      <c r="E283" s="56">
        <f t="shared" si="53"/>
        <v>0.833350274569648</v>
      </c>
      <c r="F283" s="5">
        <v>674.45</v>
      </c>
      <c r="G283" s="65">
        <f t="shared" si="57"/>
        <v>0.4500000000000455</v>
      </c>
      <c r="H283" s="64">
        <f t="shared" si="58"/>
        <v>0.0006676557863502158</v>
      </c>
      <c r="I283" s="56">
        <f t="shared" si="54"/>
        <v>0.9590159172766356</v>
      </c>
    </row>
    <row r="284" spans="1:9" ht="11.25">
      <c r="A284" s="52" t="s">
        <v>485</v>
      </c>
      <c r="B284" s="53">
        <v>18.572349048957282</v>
      </c>
      <c r="C284" s="63">
        <f t="shared" si="55"/>
        <v>0.004531959486833159</v>
      </c>
      <c r="D284" s="64">
        <f t="shared" si="56"/>
        <v>0.00024407605185873844</v>
      </c>
      <c r="E284" s="56">
        <f t="shared" si="53"/>
        <v>0.8337977514663392</v>
      </c>
      <c r="F284" s="5">
        <v>689.05</v>
      </c>
      <c r="G284" s="65">
        <f t="shared" si="57"/>
        <v>14.599999999999909</v>
      </c>
      <c r="H284" s="64">
        <f t="shared" si="58"/>
        <v>0.021647268144413832</v>
      </c>
      <c r="I284" s="56">
        <f t="shared" si="54"/>
        <v>1.0014232601370978</v>
      </c>
    </row>
    <row r="285" spans="1:9" ht="11.25">
      <c r="A285" s="52" t="s">
        <v>85</v>
      </c>
      <c r="B285" s="53">
        <v>18.662725831520586</v>
      </c>
      <c r="C285" s="63">
        <f t="shared" si="55"/>
        <v>0.09037678256330395</v>
      </c>
      <c r="D285" s="64">
        <f t="shared" si="56"/>
        <v>0.004866200948790483</v>
      </c>
      <c r="E285" s="56">
        <f aca="true" t="shared" si="59" ref="E285:E291">(B285-$B$3)/$B$3</f>
        <v>0.8427213798244145</v>
      </c>
      <c r="F285" s="5">
        <v>691.88</v>
      </c>
      <c r="G285" s="65">
        <f t="shared" si="57"/>
        <v>2.830000000000041</v>
      </c>
      <c r="H285" s="64">
        <f t="shared" si="58"/>
        <v>0.004107103983745797</v>
      </c>
      <c r="I285" s="56">
        <f aca="true" t="shared" si="60" ref="I285:I291">(F285-$F$3)/$F$3</f>
        <v>1.0096433135819682</v>
      </c>
    </row>
    <row r="286" spans="1:9" ht="11.25">
      <c r="A286" s="52" t="s">
        <v>86</v>
      </c>
      <c r="B286" s="53">
        <v>18.613691876064077</v>
      </c>
      <c r="C286" s="63">
        <f t="shared" si="55"/>
        <v>-0.04903395545650824</v>
      </c>
      <c r="D286" s="64">
        <f t="shared" si="56"/>
        <v>-0.0026273737233867456</v>
      </c>
      <c r="E286" s="56">
        <f t="shared" si="59"/>
        <v>0.8378798620915409</v>
      </c>
      <c r="F286" s="5">
        <v>687.88</v>
      </c>
      <c r="G286" s="65">
        <f t="shared" si="57"/>
        <v>-4</v>
      </c>
      <c r="H286" s="64">
        <f t="shared" si="58"/>
        <v>-0.005781349366942245</v>
      </c>
      <c r="I286" s="56">
        <f t="shared" si="60"/>
        <v>0.9980248634832115</v>
      </c>
    </row>
    <row r="287" spans="1:9" ht="11.25">
      <c r="A287" s="52" t="s">
        <v>91</v>
      </c>
      <c r="B287" s="53">
        <v>18.62311121821491</v>
      </c>
      <c r="C287" s="63">
        <f aca="true" t="shared" si="61" ref="C287:C294">$B287-$B286</f>
        <v>0.009419342150831511</v>
      </c>
      <c r="D287" s="64">
        <f aca="true" t="shared" si="62" ref="D287:D294">$C287/$B286</f>
        <v>0.0005060437345556437</v>
      </c>
      <c r="E287" s="56">
        <f t="shared" si="59"/>
        <v>0.8388099096806183</v>
      </c>
      <c r="F287" s="5">
        <v>700.93</v>
      </c>
      <c r="G287" s="65">
        <f aca="true" t="shared" si="63" ref="G287:G294">$F287-$F286</f>
        <v>13.049999999999955</v>
      </c>
      <c r="H287" s="64">
        <f aca="true" t="shared" si="64" ref="H287:H294">$G287/$F286</f>
        <v>0.018971332209106174</v>
      </c>
      <c r="I287" s="56">
        <f t="shared" si="60"/>
        <v>1.0359300569304055</v>
      </c>
    </row>
    <row r="288" spans="1:9" ht="11.25">
      <c r="A288" s="52" t="s">
        <v>93</v>
      </c>
      <c r="B288" s="53">
        <v>18.56144592493414</v>
      </c>
      <c r="C288" s="63">
        <f t="shared" si="61"/>
        <v>-0.061665293280768196</v>
      </c>
      <c r="D288" s="64">
        <f t="shared" si="62"/>
        <v>-0.0033112240247190573</v>
      </c>
      <c r="E288" s="56">
        <f t="shared" si="59"/>
        <v>0.8327211981307923</v>
      </c>
      <c r="F288" s="5">
        <v>709.15</v>
      </c>
      <c r="G288" s="65">
        <f t="shared" si="63"/>
        <v>8.220000000000027</v>
      </c>
      <c r="H288" s="64">
        <f t="shared" si="64"/>
        <v>0.011727276618207279</v>
      </c>
      <c r="I288" s="56">
        <f t="shared" si="60"/>
        <v>1.0598059718833508</v>
      </c>
    </row>
    <row r="289" spans="1:9" ht="11.25">
      <c r="A289" s="52" t="s">
        <v>487</v>
      </c>
      <c r="B289" s="53">
        <v>18.241597815252597</v>
      </c>
      <c r="C289" s="63">
        <f t="shared" si="61"/>
        <v>-0.3198481096815442</v>
      </c>
      <c r="D289" s="64">
        <f t="shared" si="62"/>
        <v>-0.0172318531096698</v>
      </c>
      <c r="E289" s="56">
        <f t="shared" si="59"/>
        <v>0.8011400156536245</v>
      </c>
      <c r="F289" s="5">
        <v>718.33</v>
      </c>
      <c r="G289" s="65">
        <f t="shared" si="63"/>
        <v>9.180000000000064</v>
      </c>
      <c r="H289" s="64">
        <f t="shared" si="64"/>
        <v>0.012945075089896445</v>
      </c>
      <c r="I289" s="56">
        <f t="shared" si="60"/>
        <v>1.086470314859998</v>
      </c>
    </row>
    <row r="290" spans="1:9" ht="11.25">
      <c r="A290" s="52" t="s">
        <v>97</v>
      </c>
      <c r="B290" s="53">
        <v>18.12489907352139</v>
      </c>
      <c r="C290" s="63">
        <f t="shared" si="61"/>
        <v>-0.11669874173120576</v>
      </c>
      <c r="D290" s="64">
        <f t="shared" si="62"/>
        <v>-0.006397396922852276</v>
      </c>
      <c r="E290" s="56">
        <f t="shared" si="59"/>
        <v>0.7896174080598558</v>
      </c>
      <c r="F290" s="5">
        <v>718.47</v>
      </c>
      <c r="G290" s="65">
        <f t="shared" si="63"/>
        <v>0.13999999999998636</v>
      </c>
      <c r="H290" s="64">
        <f t="shared" si="64"/>
        <v>0.00019489649603940577</v>
      </c>
      <c r="I290" s="56">
        <f t="shared" si="60"/>
        <v>1.0868769606134545</v>
      </c>
    </row>
    <row r="291" spans="1:9" ht="11.25">
      <c r="A291" s="52" t="s">
        <v>101</v>
      </c>
      <c r="B291" s="53">
        <v>18.172395164382735</v>
      </c>
      <c r="C291" s="63">
        <f t="shared" si="61"/>
        <v>0.04749609086134399</v>
      </c>
      <c r="D291" s="64">
        <f t="shared" si="62"/>
        <v>0.0026204885703739384</v>
      </c>
      <c r="E291" s="56">
        <f t="shared" si="59"/>
        <v>0.794307080023019</v>
      </c>
      <c r="F291" s="5">
        <v>723.39</v>
      </c>
      <c r="G291" s="65">
        <f t="shared" si="63"/>
        <v>4.919999999999959</v>
      </c>
      <c r="H291" s="64">
        <f t="shared" si="64"/>
        <v>0.006847885089147715</v>
      </c>
      <c r="I291" s="56">
        <f t="shared" si="60"/>
        <v>1.1011676542349251</v>
      </c>
    </row>
    <row r="292" spans="1:9" ht="11.25">
      <c r="A292" s="52" t="s">
        <v>103</v>
      </c>
      <c r="B292" s="53">
        <v>17.955681533715943</v>
      </c>
      <c r="C292" s="63">
        <f t="shared" si="61"/>
        <v>-0.21671363066679206</v>
      </c>
      <c r="D292" s="64">
        <f t="shared" si="62"/>
        <v>-0.011925430231208227</v>
      </c>
      <c r="E292" s="56">
        <f aca="true" t="shared" si="65" ref="E292:E297">(B292-$B$3)/$B$3</f>
        <v>0.7729091961268415</v>
      </c>
      <c r="F292" s="5">
        <v>721.65</v>
      </c>
      <c r="G292" s="65">
        <f t="shared" si="63"/>
        <v>-1.740000000000009</v>
      </c>
      <c r="H292" s="64">
        <f t="shared" si="64"/>
        <v>-0.0024053415170240244</v>
      </c>
      <c r="I292" s="56">
        <f aca="true" t="shared" si="66" ref="I292:I297">(F292-$F$3)/$F$3</f>
        <v>1.096113628441966</v>
      </c>
    </row>
    <row r="293" spans="1:9" ht="11.25">
      <c r="A293" s="52" t="s">
        <v>105</v>
      </c>
      <c r="B293" s="53">
        <v>17.897021106454492</v>
      </c>
      <c r="C293" s="63">
        <f t="shared" si="61"/>
        <v>-0.05866042726145082</v>
      </c>
      <c r="D293" s="64">
        <f t="shared" si="62"/>
        <v>-0.0032669563197198787</v>
      </c>
      <c r="E293" s="56">
        <f t="shared" si="65"/>
        <v>0.7671171792242654</v>
      </c>
      <c r="F293" s="5">
        <v>734.89</v>
      </c>
      <c r="G293" s="65">
        <f t="shared" si="63"/>
        <v>13.240000000000009</v>
      </c>
      <c r="H293" s="64">
        <f t="shared" si="64"/>
        <v>0.018346844037968556</v>
      </c>
      <c r="I293" s="56">
        <f t="shared" si="66"/>
        <v>1.134570698268851</v>
      </c>
    </row>
    <row r="294" spans="1:9" ht="11.25">
      <c r="A294" s="52" t="s">
        <v>492</v>
      </c>
      <c r="B294" s="53">
        <v>18.034229523784916</v>
      </c>
      <c r="C294" s="63">
        <f t="shared" si="61"/>
        <v>0.13720841733042377</v>
      </c>
      <c r="D294" s="64">
        <f t="shared" si="62"/>
        <v>0.007666550568068565</v>
      </c>
      <c r="E294" s="56">
        <f t="shared" si="65"/>
        <v>0.7806648724384909</v>
      </c>
      <c r="F294" s="5">
        <v>746.81</v>
      </c>
      <c r="G294" s="65">
        <f t="shared" si="63"/>
        <v>11.919999999999959</v>
      </c>
      <c r="H294" s="64">
        <f t="shared" si="64"/>
        <v>0.01622011457497035</v>
      </c>
      <c r="I294" s="56">
        <f t="shared" si="66"/>
        <v>1.1691936795631463</v>
      </c>
    </row>
    <row r="295" spans="1:9" ht="11.25">
      <c r="A295" s="52" t="s">
        <v>493</v>
      </c>
      <c r="B295" s="53">
        <v>18.137868677300975</v>
      </c>
      <c r="C295" s="63">
        <f aca="true" t="shared" si="67" ref="C295:C300">$B295-$B294</f>
        <v>0.10363915351605968</v>
      </c>
      <c r="D295" s="64">
        <f aca="true" t="shared" si="68" ref="D295:D300">$C295/$B294</f>
        <v>0.005746802400367172</v>
      </c>
      <c r="E295" s="56">
        <f t="shared" si="65"/>
        <v>0.7908980016016699</v>
      </c>
      <c r="F295" s="5">
        <v>764.23</v>
      </c>
      <c r="G295" s="65">
        <f aca="true" t="shared" si="69" ref="G295:G300">$F295-$F294</f>
        <v>17.420000000000073</v>
      </c>
      <c r="H295" s="64">
        <f aca="true" t="shared" si="70" ref="H295:H300">$G295/$F294</f>
        <v>0.023325879407078205</v>
      </c>
      <c r="I295" s="56">
        <f t="shared" si="66"/>
        <v>1.2197920297432325</v>
      </c>
    </row>
    <row r="296" spans="1:9" ht="11.25">
      <c r="A296" s="52" t="s">
        <v>494</v>
      </c>
      <c r="B296" s="53">
        <v>18.19538318047394</v>
      </c>
      <c r="C296" s="63">
        <f t="shared" si="67"/>
        <v>0.05751450317296403</v>
      </c>
      <c r="D296" s="64">
        <f t="shared" si="68"/>
        <v>0.003170962597438021</v>
      </c>
      <c r="E296" s="56">
        <f t="shared" si="65"/>
        <v>0.7965768721805754</v>
      </c>
      <c r="F296" s="5">
        <v>772.15</v>
      </c>
      <c r="G296" s="65">
        <f t="shared" si="69"/>
        <v>7.919999999999959</v>
      </c>
      <c r="H296" s="64">
        <f t="shared" si="70"/>
        <v>0.010363372283213115</v>
      </c>
      <c r="I296" s="56">
        <f t="shared" si="66"/>
        <v>1.2427965609387708</v>
      </c>
    </row>
    <row r="297" spans="1:9" ht="11.25">
      <c r="A297" s="52" t="s">
        <v>495</v>
      </c>
      <c r="B297" s="53">
        <v>19.31799670486959</v>
      </c>
      <c r="C297" s="63">
        <f t="shared" si="67"/>
        <v>1.1226135243956499</v>
      </c>
      <c r="D297" s="64">
        <f t="shared" si="68"/>
        <v>0.06169771272530073</v>
      </c>
      <c r="E297" s="56">
        <f t="shared" si="65"/>
        <v>0.9074215559292917</v>
      </c>
      <c r="F297" s="5">
        <v>790.93</v>
      </c>
      <c r="G297" s="65">
        <f t="shared" si="69"/>
        <v>18.779999999999973</v>
      </c>
      <c r="H297" s="64">
        <f t="shared" si="70"/>
        <v>0.02432169915171919</v>
      </c>
      <c r="I297" s="56">
        <f t="shared" si="66"/>
        <v>1.2973451841524342</v>
      </c>
    </row>
    <row r="298" spans="1:9" ht="11.25">
      <c r="A298" s="52" t="s">
        <v>111</v>
      </c>
      <c r="B298" s="53">
        <v>19.17226692267338</v>
      </c>
      <c r="C298" s="63">
        <f t="shared" si="67"/>
        <v>-0.14572978219620936</v>
      </c>
      <c r="D298" s="64">
        <f t="shared" si="68"/>
        <v>-0.007543731600258244</v>
      </c>
      <c r="E298" s="56">
        <f aca="true" t="shared" si="71" ref="E298:E303">(B298-$B$3)/$B$3</f>
        <v>0.8930324796628143</v>
      </c>
      <c r="F298" s="5">
        <v>769.68</v>
      </c>
      <c r="G298" s="65">
        <f t="shared" si="69"/>
        <v>-21.25</v>
      </c>
      <c r="H298" s="64">
        <f t="shared" si="70"/>
        <v>-0.026867105812145197</v>
      </c>
      <c r="I298" s="56">
        <f aca="true" t="shared" si="72" ref="I298:I303">(F298-$F$3)/$F$3</f>
        <v>1.2356221680027886</v>
      </c>
    </row>
    <row r="299" spans="1:9" ht="11.25">
      <c r="A299" s="52" t="s">
        <v>113</v>
      </c>
      <c r="B299" s="53">
        <v>19.113443428797915</v>
      </c>
      <c r="C299" s="63">
        <f t="shared" si="67"/>
        <v>-0.05882349387546526</v>
      </c>
      <c r="D299" s="64">
        <f t="shared" si="68"/>
        <v>-0.003068155378428401</v>
      </c>
      <c r="E299" s="56">
        <f t="shared" si="71"/>
        <v>0.8872243618787972</v>
      </c>
      <c r="F299" s="5">
        <v>750.97</v>
      </c>
      <c r="G299" s="65">
        <f t="shared" si="69"/>
        <v>-18.709999999999923</v>
      </c>
      <c r="H299" s="64">
        <f t="shared" si="70"/>
        <v>-0.024308803658663242</v>
      </c>
      <c r="I299" s="56">
        <f t="shared" si="72"/>
        <v>1.1812768676658536</v>
      </c>
    </row>
    <row r="300" spans="1:9" ht="11.25">
      <c r="A300" s="52" t="s">
        <v>115</v>
      </c>
      <c r="B300" s="53">
        <v>19.12076138493952</v>
      </c>
      <c r="C300" s="63">
        <f t="shared" si="67"/>
        <v>0.007317956141605464</v>
      </c>
      <c r="D300" s="64">
        <f t="shared" si="68"/>
        <v>0.0003828695843774345</v>
      </c>
      <c r="E300" s="56">
        <f t="shared" si="71"/>
        <v>0.8879469226858566</v>
      </c>
      <c r="F300" s="5">
        <v>773.55</v>
      </c>
      <c r="G300" s="65">
        <f t="shared" si="69"/>
        <v>22.579999999999927</v>
      </c>
      <c r="H300" s="64">
        <f t="shared" si="70"/>
        <v>0.030067779005819043</v>
      </c>
      <c r="I300" s="56">
        <f t="shared" si="72"/>
        <v>1.2468630184733358</v>
      </c>
    </row>
    <row r="301" spans="1:9" ht="11.25">
      <c r="A301" s="52" t="s">
        <v>116</v>
      </c>
      <c r="B301" s="53">
        <v>19.040249133637516</v>
      </c>
      <c r="C301" s="63">
        <f>$B301-$B300</f>
        <v>-0.08051225130200379</v>
      </c>
      <c r="D301" s="64">
        <f>$C301/$B300</f>
        <v>-0.004210724127618648</v>
      </c>
      <c r="E301" s="56">
        <f t="shared" si="71"/>
        <v>0.8799972990268399</v>
      </c>
      <c r="F301" s="5">
        <v>783.44</v>
      </c>
      <c r="G301" s="65">
        <f>$F301-$F300</f>
        <v>9.8900000000001</v>
      </c>
      <c r="H301" s="64">
        <f>$G301/$F300</f>
        <v>0.012785211040010472</v>
      </c>
      <c r="I301" s="56">
        <f t="shared" si="72"/>
        <v>1.2755896363425123</v>
      </c>
    </row>
    <row r="302" spans="1:9" ht="11.25">
      <c r="A302" s="52" t="s">
        <v>498</v>
      </c>
      <c r="B302" s="53">
        <v>18.833050696177803</v>
      </c>
      <c r="C302" s="63">
        <f>$B302-$B301</f>
        <v>-0.2071984374597129</v>
      </c>
      <c r="D302" s="64">
        <f>$C302/$B301</f>
        <v>-0.010882128485055646</v>
      </c>
      <c r="E302" s="56">
        <f t="shared" si="71"/>
        <v>0.8595389268672723</v>
      </c>
      <c r="F302" s="5">
        <v>794.01</v>
      </c>
      <c r="G302" s="65">
        <f>$F302-$F301</f>
        <v>10.569999999999936</v>
      </c>
      <c r="H302" s="64">
        <f>$G302/$F301</f>
        <v>0.013491779842744736</v>
      </c>
      <c r="I302" s="56">
        <f t="shared" si="72"/>
        <v>1.306291390728477</v>
      </c>
    </row>
    <row r="303" spans="1:9" ht="11.25">
      <c r="A303" s="52" t="s">
        <v>121</v>
      </c>
      <c r="B303" s="53">
        <v>18.73324549067981</v>
      </c>
      <c r="C303" s="63">
        <f>$B303-$B302</f>
        <v>-0.09980520549799365</v>
      </c>
      <c r="D303" s="64">
        <f>$C303/$B302</f>
        <v>-0.005299470973029838</v>
      </c>
      <c r="E303" s="56">
        <f t="shared" si="71"/>
        <v>0.8496843543011201</v>
      </c>
      <c r="F303" s="5">
        <v>792.23</v>
      </c>
      <c r="G303" s="65">
        <f>$F303-$F302</f>
        <v>-1.7799999999999727</v>
      </c>
      <c r="H303" s="64">
        <f>$G303/$F302</f>
        <v>-0.002241785367942435</v>
      </c>
      <c r="I303" s="56">
        <f t="shared" si="72"/>
        <v>1.3011211804345302</v>
      </c>
    </row>
    <row r="304" spans="1:9" ht="11.25">
      <c r="A304" s="52" t="s">
        <v>122</v>
      </c>
      <c r="B304" s="53">
        <v>18.973402900907676</v>
      </c>
      <c r="C304" s="63">
        <f>$B304-$B303</f>
        <v>0.24015741022786585</v>
      </c>
      <c r="D304" s="64">
        <f>$C304/$B303</f>
        <v>0.01281985069524388</v>
      </c>
      <c r="E304" s="56">
        <f>(B304-$B$3)/$B$3</f>
        <v>0.8733970315565891</v>
      </c>
      <c r="F304" s="5">
        <v>790.84</v>
      </c>
      <c r="G304" s="65">
        <f>$F304-$F303</f>
        <v>-1.3899999999999864</v>
      </c>
      <c r="H304" s="64">
        <f>$G304/$F303</f>
        <v>-0.0017545409792610559</v>
      </c>
      <c r="I304" s="56">
        <f>(F304-$F$3)/$F$3</f>
        <v>1.2970837690252124</v>
      </c>
    </row>
    <row r="305" spans="1:9" ht="11.25">
      <c r="A305" s="52" t="s">
        <v>123</v>
      </c>
      <c r="B305" s="53">
        <v>18.655796856307088</v>
      </c>
      <c r="C305" s="63">
        <f>$B305-$B304</f>
        <v>-0.3176060446005877</v>
      </c>
      <c r="D305" s="64">
        <f>$C305/$B304</f>
        <v>-0.016739540411350968</v>
      </c>
      <c r="E305" s="56">
        <f>(B305-$B$3)/$B$3</f>
        <v>0.8420372262403426</v>
      </c>
      <c r="F305" s="5">
        <v>767.39</v>
      </c>
      <c r="G305" s="65">
        <f>$F305-$F304</f>
        <v>-23.450000000000045</v>
      </c>
      <c r="H305" s="64">
        <f>$G305/$F304</f>
        <v>-0.02965201557837242</v>
      </c>
      <c r="I305" s="56">
        <f>(F305-$F$3)/$F$3</f>
        <v>1.2289706053212504</v>
      </c>
    </row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cp:lastPrinted>2003-08-11T15:01:25Z</cp:lastPrinted>
  <dcterms:created xsi:type="dcterms:W3CDTF">2002-10-20T17:23:22Z</dcterms:created>
  <dcterms:modified xsi:type="dcterms:W3CDTF">2004-01-15T13:48:56Z</dcterms:modified>
  <cp:category/>
  <cp:version/>
  <cp:contentType/>
  <cp:contentStatus/>
</cp:coreProperties>
</file>