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01" windowWidth="15360" windowHeight="9225" tabRatio="943" activeTab="20"/>
  </bookViews>
  <sheets>
    <sheet name="Tran" sheetId="1" r:id="rId1"/>
    <sheet name="15JY" sheetId="2" r:id="rId2"/>
    <sheet name="16JY" sheetId="3" r:id="rId3"/>
    <sheet name="17JY" sheetId="4" r:id="rId4"/>
    <sheet name="18JY" sheetId="5" r:id="rId5"/>
    <sheet name="21JY" sheetId="6" r:id="rId6"/>
    <sheet name="22JY" sheetId="7" r:id="rId7"/>
    <sheet name="23JY" sheetId="8" r:id="rId8"/>
    <sheet name="24JY" sheetId="9" r:id="rId9"/>
    <sheet name="25JY" sheetId="10" r:id="rId10"/>
    <sheet name="28JY" sheetId="11" r:id="rId11"/>
    <sheet name="29JY" sheetId="12" r:id="rId12"/>
    <sheet name="30JY" sheetId="13" r:id="rId13"/>
    <sheet name="31JY" sheetId="14" r:id="rId14"/>
    <sheet name="1A" sheetId="15" r:id="rId15"/>
    <sheet name="4A" sheetId="16" r:id="rId16"/>
    <sheet name="5A" sheetId="17" r:id="rId17"/>
    <sheet name="6A" sheetId="18" r:id="rId18"/>
    <sheet name="7A" sheetId="19" r:id="rId19"/>
    <sheet name="8A" sheetId="20" r:id="rId20"/>
    <sheet name="Perf." sheetId="21" r:id="rId21"/>
    <sheet name="%CHG" sheetId="22" r:id="rId22"/>
    <sheet name="Return" sheetId="23" r:id="rId23"/>
  </sheets>
  <definedNames/>
  <calcPr fullCalcOnLoad="1"/>
</workbook>
</file>

<file path=xl/comments11.xml><?xml version="1.0" encoding="utf-8"?>
<comments xmlns="http://schemas.openxmlformats.org/spreadsheetml/2006/main">
  <authors>
    <author>ray</author>
  </authors>
  <commentList>
    <comment ref="F23" authorId="0">
      <text>
        <r>
          <rPr>
            <sz val="8"/>
            <rFont val="Tahoma"/>
            <family val="0"/>
          </rPr>
          <t>from redemption
be effective T+3</t>
        </r>
      </text>
    </comment>
  </commentList>
</comments>
</file>

<file path=xl/comments12.xml><?xml version="1.0" encoding="utf-8"?>
<comments xmlns="http://schemas.openxmlformats.org/spreadsheetml/2006/main">
  <authors>
    <author>ray</author>
  </authors>
  <commentList>
    <comment ref="F23" authorId="0">
      <text>
        <r>
          <rPr>
            <sz val="8"/>
            <rFont val="Tahoma"/>
            <family val="0"/>
          </rPr>
          <t>from redemption
be effective T+2</t>
        </r>
      </text>
    </comment>
  </commentList>
</comments>
</file>

<file path=xl/comments13.xml><?xml version="1.0" encoding="utf-8"?>
<comments xmlns="http://schemas.openxmlformats.org/spreadsheetml/2006/main">
  <authors>
    <author>ray</author>
  </authors>
  <commentList>
    <comment ref="F23" authorId="0">
      <text>
        <r>
          <rPr>
            <sz val="8"/>
            <rFont val="Tahoma"/>
            <family val="0"/>
          </rPr>
          <t>from redemption
be effective T+1</t>
        </r>
      </text>
    </comment>
  </commentList>
</comments>
</file>

<file path=xl/comments19.xml><?xml version="1.0" encoding="utf-8"?>
<comments xmlns="http://schemas.openxmlformats.org/spreadsheetml/2006/main">
  <authors>
    <author>ray</author>
  </authors>
  <commentList>
    <comment ref="F24" authorId="0">
      <text>
        <r>
          <rPr>
            <sz val="8"/>
            <rFont val="Tahoma"/>
            <family val="0"/>
          </rPr>
          <t>remaining in Mink 's pocket</t>
        </r>
      </text>
    </comment>
  </commentList>
</comments>
</file>

<file path=xl/comments20.xml><?xml version="1.0" encoding="utf-8"?>
<comments xmlns="http://schemas.openxmlformats.org/spreadsheetml/2006/main">
  <authors>
    <author>ray</author>
  </authors>
  <commentList>
    <comment ref="F24" authorId="0">
      <text>
        <r>
          <rPr>
            <sz val="8"/>
            <rFont val="Tahoma"/>
            <family val="0"/>
          </rPr>
          <t>remaining in Mink 's pocket</t>
        </r>
      </text>
    </comment>
  </commentList>
</comments>
</file>

<file path=xl/sharedStrings.xml><?xml version="1.0" encoding="utf-8"?>
<sst xmlns="http://schemas.openxmlformats.org/spreadsheetml/2006/main" count="1482" uniqueCount="397">
  <si>
    <t>DATE</t>
  </si>
  <si>
    <t>TRANSACTION</t>
  </si>
  <si>
    <t>NAME</t>
  </si>
  <si>
    <t>B/S</t>
  </si>
  <si>
    <t>QUANTITY</t>
  </si>
  <si>
    <t>PRICE</t>
  </si>
  <si>
    <t>COM</t>
  </si>
  <si>
    <t>VAT</t>
  </si>
  <si>
    <t>AMOUNT</t>
  </si>
  <si>
    <t>COST PRICE</t>
  </si>
  <si>
    <t>MK PRICE</t>
  </si>
  <si>
    <t>MK VALUE</t>
  </si>
  <si>
    <t>% OF NAV</t>
  </si>
  <si>
    <t>RAM</t>
  </si>
  <si>
    <t>NET BUY</t>
  </si>
  <si>
    <t>NAV</t>
  </si>
  <si>
    <t>BUY</t>
  </si>
  <si>
    <t>BEG. CASH</t>
  </si>
  <si>
    <t>TUE 22/10/02</t>
  </si>
  <si>
    <t>ENDING CASH AVAILABLE</t>
  </si>
  <si>
    <t>TOTAL ASSET VALUE</t>
  </si>
  <si>
    <t>PERFORMANCE</t>
  </si>
  <si>
    <t>CHANGE</t>
  </si>
  <si>
    <t>PERCENT</t>
  </si>
  <si>
    <t>SET</t>
  </si>
  <si>
    <t>22/10</t>
  </si>
  <si>
    <t>RETURN SINCE INCEPTION</t>
  </si>
  <si>
    <t>UNREALIZED P/L</t>
  </si>
  <si>
    <t>21/10</t>
  </si>
  <si>
    <t>MON 21/10/02</t>
  </si>
  <si>
    <t>VARO</t>
  </si>
  <si>
    <t>ROJANA</t>
  </si>
  <si>
    <t>PATKOL</t>
  </si>
  <si>
    <t>ISSUED UNIT</t>
  </si>
  <si>
    <t>NAV / UNIT</t>
  </si>
  <si>
    <t>TOTAL MARKET VALUE</t>
  </si>
  <si>
    <t>THU 24/10/02</t>
  </si>
  <si>
    <t>SELL</t>
  </si>
  <si>
    <t>NET SELL</t>
  </si>
  <si>
    <t>24/10</t>
  </si>
  <si>
    <t>FRI 25/10/02</t>
  </si>
  <si>
    <t>25/10</t>
  </si>
  <si>
    <t>MON 28/10/02</t>
  </si>
  <si>
    <t>28/10</t>
  </si>
  <si>
    <t>TUE 29/10/02</t>
  </si>
  <si>
    <t>29/10</t>
  </si>
  <si>
    <t>30/10</t>
  </si>
  <si>
    <t>31/10</t>
  </si>
  <si>
    <t>1/11</t>
  </si>
  <si>
    <t>MON 04/11/02</t>
  </si>
  <si>
    <t>4/11</t>
  </si>
  <si>
    <t>5/11</t>
  </si>
  <si>
    <t>6/11</t>
  </si>
  <si>
    <t>7/11</t>
  </si>
  <si>
    <t>FRI 08/11/02</t>
  </si>
  <si>
    <t>8/11</t>
  </si>
  <si>
    <t>MON 11/11/02</t>
  </si>
  <si>
    <t>11/11</t>
  </si>
  <si>
    <t>TUE 12/11/02</t>
  </si>
  <si>
    <t>12/11</t>
  </si>
  <si>
    <t>13/11</t>
  </si>
  <si>
    <t>14/11</t>
  </si>
  <si>
    <t>FRI 15/11/02</t>
  </si>
  <si>
    <t>15/11</t>
  </si>
  <si>
    <t>MON 18/11/02</t>
  </si>
  <si>
    <t>18/11</t>
  </si>
  <si>
    <t>19/11</t>
  </si>
  <si>
    <t>TUE 19/11/02</t>
  </si>
  <si>
    <t>THU 21/11/02</t>
  </si>
  <si>
    <t>FRI 22/11/02</t>
  </si>
  <si>
    <t>20/11</t>
  </si>
  <si>
    <t>21/11</t>
  </si>
  <si>
    <t>22/11</t>
  </si>
  <si>
    <t>25/11</t>
  </si>
  <si>
    <t>TUE 26/11/02</t>
  </si>
  <si>
    <t>26/11</t>
  </si>
  <si>
    <t>27/11</t>
  </si>
  <si>
    <t>FRI 29/11/02</t>
  </si>
  <si>
    <t>28/11</t>
  </si>
  <si>
    <t>29/11</t>
  </si>
  <si>
    <t>2/12</t>
  </si>
  <si>
    <t>3/12</t>
  </si>
  <si>
    <t>4/12</t>
  </si>
  <si>
    <t>6/12</t>
  </si>
  <si>
    <t>9/12</t>
  </si>
  <si>
    <t>WED 11/12/02</t>
  </si>
  <si>
    <t>11/12</t>
  </si>
  <si>
    <t>12/12</t>
  </si>
  <si>
    <t>13/12</t>
  </si>
  <si>
    <t>16/12</t>
  </si>
  <si>
    <t>17/12</t>
  </si>
  <si>
    <t>TUE 17/12/02</t>
  </si>
  <si>
    <t>CEI</t>
  </si>
  <si>
    <t>WED 18/12/02</t>
  </si>
  <si>
    <t>SITHAI</t>
  </si>
  <si>
    <t>18/12</t>
  </si>
  <si>
    <t>THU 19/12/02</t>
  </si>
  <si>
    <t>19/12</t>
  </si>
  <si>
    <t>FRI 20/12/02</t>
  </si>
  <si>
    <t>20/12</t>
  </si>
  <si>
    <t>MON 23/12/02</t>
  </si>
  <si>
    <t>23/12</t>
  </si>
  <si>
    <t>TUE 24/12/02</t>
  </si>
  <si>
    <t>TRAF-W1</t>
  </si>
  <si>
    <t>AEONTS</t>
  </si>
  <si>
    <t>24/12</t>
  </si>
  <si>
    <t>WED 25/12/02</t>
  </si>
  <si>
    <t>25/12</t>
  </si>
  <si>
    <t>THU 26/12/02</t>
  </si>
  <si>
    <t>26/12</t>
  </si>
  <si>
    <t>FRI 27/12/02</t>
  </si>
  <si>
    <t>27/12</t>
  </si>
  <si>
    <t>2/1</t>
  </si>
  <si>
    <t>FRI  03/01/03</t>
  </si>
  <si>
    <t>3/1</t>
  </si>
  <si>
    <t>6/1</t>
  </si>
  <si>
    <t>TUE 07/01/03</t>
  </si>
  <si>
    <t>7/1</t>
  </si>
  <si>
    <t>WED 08/01/03</t>
  </si>
  <si>
    <t>8/1</t>
  </si>
  <si>
    <t>9/1</t>
  </si>
  <si>
    <t>FRI 10/01/03</t>
  </si>
  <si>
    <t>10/1</t>
  </si>
  <si>
    <t>MON 13/01/03</t>
  </si>
  <si>
    <t>TUE 14/01/03</t>
  </si>
  <si>
    <t>13/1</t>
  </si>
  <si>
    <t>14/1</t>
  </si>
  <si>
    <t>15/1</t>
  </si>
  <si>
    <t>16/1</t>
  </si>
  <si>
    <t>17/1</t>
  </si>
  <si>
    <t>20/1</t>
  </si>
  <si>
    <t>21/1</t>
  </si>
  <si>
    <t>22/1</t>
  </si>
  <si>
    <t>23/1</t>
  </si>
  <si>
    <t>BAT-3K</t>
  </si>
  <si>
    <t>FRI 24/01/03</t>
  </si>
  <si>
    <t>24/1</t>
  </si>
  <si>
    <t>SUBSCRIPTION</t>
  </si>
  <si>
    <t>27/1</t>
  </si>
  <si>
    <t>TUE 28/01/03</t>
  </si>
  <si>
    <t>28/1</t>
  </si>
  <si>
    <t>WED 29/01/03</t>
  </si>
  <si>
    <t>SPL</t>
  </si>
  <si>
    <t>29/1</t>
  </si>
  <si>
    <t>30/1</t>
  </si>
  <si>
    <t>31/1</t>
  </si>
  <si>
    <t>3/2</t>
  </si>
  <si>
    <t>4/2</t>
  </si>
  <si>
    <t>5/2</t>
  </si>
  <si>
    <t>6/2</t>
  </si>
  <si>
    <t>7/2</t>
  </si>
  <si>
    <t>MON 10/02/03</t>
  </si>
  <si>
    <t>TIPCO</t>
  </si>
  <si>
    <t>10/2</t>
  </si>
  <si>
    <t>11/2</t>
  </si>
  <si>
    <t>REDEMPTION</t>
  </si>
  <si>
    <t>WED 12/02/03</t>
  </si>
  <si>
    <t>VNT</t>
  </si>
  <si>
    <t>SIKRIN</t>
  </si>
  <si>
    <t>12/2</t>
  </si>
  <si>
    <t>13/2</t>
  </si>
  <si>
    <t>THU 13/02/03</t>
  </si>
  <si>
    <t>FRI 14/02/03</t>
  </si>
  <si>
    <t>14/2</t>
  </si>
  <si>
    <t>SPL-W2</t>
  </si>
  <si>
    <t>TUE 18/02/03</t>
  </si>
  <si>
    <t>18/2</t>
  </si>
  <si>
    <t>WED 19/02/03</t>
  </si>
  <si>
    <t>TRAF</t>
  </si>
  <si>
    <t>19/2</t>
  </si>
  <si>
    <t>20/2</t>
  </si>
  <si>
    <t>21/2</t>
  </si>
  <si>
    <t>MON 24/02/03</t>
  </si>
  <si>
    <t>24/2</t>
  </si>
  <si>
    <t>TUE 25/02/03</t>
  </si>
  <si>
    <t>25/2</t>
  </si>
  <si>
    <t>WED 26/02/03</t>
  </si>
  <si>
    <t>26/2</t>
  </si>
  <si>
    <t>27/2</t>
  </si>
  <si>
    <t>THU 27/02/03</t>
  </si>
  <si>
    <t>28/2</t>
  </si>
  <si>
    <t>MON 3/03/03</t>
  </si>
  <si>
    <t>3/03</t>
  </si>
  <si>
    <t>4/03</t>
  </si>
  <si>
    <t>WEALTH</t>
  </si>
  <si>
    <t>BALANCE IN ACCOUNT</t>
  </si>
  <si>
    <t>TUE 4/03/03</t>
  </si>
  <si>
    <t>WED 5/03/03</t>
  </si>
  <si>
    <t>THU 6/03/03</t>
  </si>
  <si>
    <t>5/03</t>
  </si>
  <si>
    <t>6/03</t>
  </si>
  <si>
    <t>FRI 7/03/03</t>
  </si>
  <si>
    <t>7/03</t>
  </si>
  <si>
    <t>10/3</t>
  </si>
  <si>
    <t>TUE 11/03/03</t>
  </si>
  <si>
    <t>11/3</t>
  </si>
  <si>
    <t>12/3</t>
  </si>
  <si>
    <t>13/3</t>
  </si>
  <si>
    <t>14/3</t>
  </si>
  <si>
    <t>17/3</t>
  </si>
  <si>
    <t>18/3</t>
  </si>
  <si>
    <t>19/3</t>
  </si>
  <si>
    <t>THU 20/03/03</t>
  </si>
  <si>
    <t>QH-W2</t>
  </si>
  <si>
    <t>20/3</t>
  </si>
  <si>
    <t>FRI 21/03/03</t>
  </si>
  <si>
    <t>MLINK</t>
  </si>
  <si>
    <t>21/3</t>
  </si>
  <si>
    <t>NLINK</t>
  </si>
  <si>
    <t>MON 24/03/03</t>
  </si>
  <si>
    <t>24/3</t>
  </si>
  <si>
    <t>WED 26/03/03</t>
  </si>
  <si>
    <t>25/3</t>
  </si>
  <si>
    <t>26/3</t>
  </si>
  <si>
    <t>27/3</t>
  </si>
  <si>
    <t>MON 31/03/03</t>
  </si>
  <si>
    <t>28/3</t>
  </si>
  <si>
    <t>31/3</t>
  </si>
  <si>
    <t>1/4</t>
  </si>
  <si>
    <t>WED 2/04/03</t>
  </si>
  <si>
    <t>2/4</t>
  </si>
  <si>
    <t>3/4</t>
  </si>
  <si>
    <t>FRI 4/04/03</t>
  </si>
  <si>
    <t>4/4</t>
  </si>
  <si>
    <t>TUE 8/04/03</t>
  </si>
  <si>
    <t>8/4</t>
  </si>
  <si>
    <t>WED 9/04/03</t>
  </si>
  <si>
    <t>KDH</t>
  </si>
  <si>
    <t>9/4</t>
  </si>
  <si>
    <t>10/4</t>
  </si>
  <si>
    <t>11/4</t>
  </si>
  <si>
    <t>16/4</t>
  </si>
  <si>
    <t>17/4</t>
  </si>
  <si>
    <t>18/4</t>
  </si>
  <si>
    <t>21/4</t>
  </si>
  <si>
    <t>22/4</t>
  </si>
  <si>
    <t>PTTEP</t>
  </si>
  <si>
    <t>23/4</t>
  </si>
  <si>
    <t>KBANK</t>
  </si>
  <si>
    <t>24/4</t>
  </si>
  <si>
    <t>25/4</t>
  </si>
  <si>
    <t>MON 21/04/03</t>
  </si>
  <si>
    <t>WED 23/04/03</t>
  </si>
  <si>
    <t>THU 24/04/03</t>
  </si>
  <si>
    <t>MON 28/04/03</t>
  </si>
  <si>
    <t>TCB</t>
  </si>
  <si>
    <t>KBANK-F</t>
  </si>
  <si>
    <t>TUE 29/04/03</t>
  </si>
  <si>
    <t>28/4</t>
  </si>
  <si>
    <t>29/4</t>
  </si>
  <si>
    <t>30/4</t>
  </si>
  <si>
    <t>WED 30/04/03</t>
  </si>
  <si>
    <t>FRI 2/05/03</t>
  </si>
  <si>
    <t>2/5</t>
  </si>
  <si>
    <t>TUE 6/05/03</t>
  </si>
  <si>
    <t>6/5</t>
  </si>
  <si>
    <t>WED 7/05/03</t>
  </si>
  <si>
    <t>DCC</t>
  </si>
  <si>
    <t>LALIN</t>
  </si>
  <si>
    <t>SPI</t>
  </si>
  <si>
    <t>7/5</t>
  </si>
  <si>
    <t>THU 8/05/03</t>
  </si>
  <si>
    <t>8/5</t>
  </si>
  <si>
    <t>FRI 9/05/03</t>
  </si>
  <si>
    <t>9/5</t>
  </si>
  <si>
    <t>12/5</t>
  </si>
  <si>
    <t>MON 12/05/03</t>
  </si>
  <si>
    <t>13/5</t>
  </si>
  <si>
    <t>WED 14/05/03</t>
  </si>
  <si>
    <t>14/5</t>
  </si>
  <si>
    <t>16/5</t>
  </si>
  <si>
    <t>19/5</t>
  </si>
  <si>
    <t>20/5</t>
  </si>
  <si>
    <t>21/5</t>
  </si>
  <si>
    <t>22/5</t>
  </si>
  <si>
    <t>FRI 23/05/03</t>
  </si>
  <si>
    <t>23/5</t>
  </si>
  <si>
    <t>26/5</t>
  </si>
  <si>
    <t>27/5</t>
  </si>
  <si>
    <t>28/5</t>
  </si>
  <si>
    <t>29/5</t>
  </si>
  <si>
    <t>30/5</t>
  </si>
  <si>
    <t>FRI 30/05/03</t>
  </si>
  <si>
    <t>PF-W2</t>
  </si>
  <si>
    <t>2/6</t>
  </si>
  <si>
    <t>TUE 3/06/03</t>
  </si>
  <si>
    <t>BGH</t>
  </si>
  <si>
    <t>3/6</t>
  </si>
  <si>
    <t>WED 4/06/03</t>
  </si>
  <si>
    <t>4/6</t>
  </si>
  <si>
    <t>THU 5/06/03</t>
  </si>
  <si>
    <t>5/6</t>
  </si>
  <si>
    <t>6/6</t>
  </si>
  <si>
    <t>9/6</t>
  </si>
  <si>
    <t>TUE 10/06/03</t>
  </si>
  <si>
    <t>10/6</t>
  </si>
  <si>
    <t>WED 11/06/03</t>
  </si>
  <si>
    <t>11/6</t>
  </si>
  <si>
    <t>12/6</t>
  </si>
  <si>
    <t>13/6</t>
  </si>
  <si>
    <t>16/6</t>
  </si>
  <si>
    <t>17/6</t>
  </si>
  <si>
    <t>WED 18/06/03</t>
  </si>
  <si>
    <t>APC</t>
  </si>
  <si>
    <t>PF</t>
  </si>
  <si>
    <t>THU 19/06/03</t>
  </si>
  <si>
    <t>18/6</t>
  </si>
  <si>
    <t>19/6</t>
  </si>
  <si>
    <t>20/6</t>
  </si>
  <si>
    <t>23/6</t>
  </si>
  <si>
    <t>TUE 24/06/03</t>
  </si>
  <si>
    <t>24/6</t>
  </si>
  <si>
    <t>WED 25/06/03</t>
  </si>
  <si>
    <t>25/6</t>
  </si>
  <si>
    <t>26/6</t>
  </si>
  <si>
    <t>FRI 27/06/03</t>
  </si>
  <si>
    <t>27/6</t>
  </si>
  <si>
    <t>30/6</t>
  </si>
  <si>
    <t>WED 2/07/03</t>
  </si>
  <si>
    <t>2/7</t>
  </si>
  <si>
    <t>THU 3/07/03</t>
  </si>
  <si>
    <t>3/7</t>
  </si>
  <si>
    <t>4/7</t>
  </si>
  <si>
    <t>MON 7/07/03</t>
  </si>
  <si>
    <t>UV</t>
  </si>
  <si>
    <t>7/7</t>
  </si>
  <si>
    <t>TUE 8/07/03</t>
  </si>
  <si>
    <t>SPENDABLE CASH</t>
  </si>
  <si>
    <t>8/7</t>
  </si>
  <si>
    <t>BALANCE AFTER T+3 SETTLEMENT</t>
  </si>
  <si>
    <t>WED 9/07/03</t>
  </si>
  <si>
    <t>9/7</t>
  </si>
  <si>
    <t>THU 10/07/03</t>
  </si>
  <si>
    <t>RATCH</t>
  </si>
  <si>
    <t>10/7</t>
  </si>
  <si>
    <t>FRI 11/07/03</t>
  </si>
  <si>
    <t>SVI-W1</t>
  </si>
  <si>
    <t>11/7</t>
  </si>
  <si>
    <t>TUE 15/07/03</t>
  </si>
  <si>
    <t>PORTFOLIO STATUS 15 JULY 2003</t>
  </si>
  <si>
    <t>TUF</t>
  </si>
  <si>
    <t>LPN-W1</t>
  </si>
  <si>
    <t>15/7</t>
  </si>
  <si>
    <t>WED 16/07/03</t>
  </si>
  <si>
    <t>PORTFOLIO STATUS 16 JULY 2003</t>
  </si>
  <si>
    <t>16/7</t>
  </si>
  <si>
    <t>THU 17/07/03</t>
  </si>
  <si>
    <t>MIDA</t>
  </si>
  <si>
    <t>PORTFOLIO STATUS 17 JULY 2003</t>
  </si>
  <si>
    <t>17/7</t>
  </si>
  <si>
    <t>FRI 18/07/03</t>
  </si>
  <si>
    <t>PORTFOLIO STATUS 18 JULY 2003</t>
  </si>
  <si>
    <t>TUF-F</t>
  </si>
  <si>
    <t>18/7</t>
  </si>
  <si>
    <t>MON 21/07/03</t>
  </si>
  <si>
    <t>CPF</t>
  </si>
  <si>
    <t>PORTFOLIO STATUS 21 JULY 2003</t>
  </si>
  <si>
    <t>21/7</t>
  </si>
  <si>
    <t>TUE 22/07/03</t>
  </si>
  <si>
    <t>PORTFOLIO STATUS 22 JULY 2003</t>
  </si>
  <si>
    <t>22/7</t>
  </si>
  <si>
    <t>PORTFOLIO STATUS 23 JULY 2003</t>
  </si>
  <si>
    <t>WED 23/07/03</t>
  </si>
  <si>
    <t>23/7</t>
  </si>
  <si>
    <t>PORTFOLIO STATUS 24 JULY 2003</t>
  </si>
  <si>
    <t>24/7</t>
  </si>
  <si>
    <t>THU 24/07/03</t>
  </si>
  <si>
    <t>PORTFOLIO STATUS 25 JULY 2003</t>
  </si>
  <si>
    <t>FRI 25/07/03</t>
  </si>
  <si>
    <t>25/7</t>
  </si>
  <si>
    <t>PORTFOLIO STATUS 28 JULY 2003</t>
  </si>
  <si>
    <t>28/7</t>
  </si>
  <si>
    <t>PORTFOLIO STATUS 29 JULY 2003</t>
  </si>
  <si>
    <t>29/7</t>
  </si>
  <si>
    <t>PORTFOLIO STATUS 30 JULY 2003</t>
  </si>
  <si>
    <t>30/7</t>
  </si>
  <si>
    <t>PORTFOLIO STATUS 31 JULY 2003</t>
  </si>
  <si>
    <t>31/7</t>
  </si>
  <si>
    <t>PORTFOLIO STATUS 1 AUGUST 2003</t>
  </si>
  <si>
    <t>1/8</t>
  </si>
  <si>
    <t>PORTFOLIO STATUS 4 AUGUST 2003</t>
  </si>
  <si>
    <t>MON 04/08/03</t>
  </si>
  <si>
    <t>4/8</t>
  </si>
  <si>
    <t>PORTFOLIO STATUS 5 AUGUST 2003</t>
  </si>
  <si>
    <t>5/8</t>
  </si>
  <si>
    <t>PORTFOLIO STATUS 6 AUGUST 2003</t>
  </si>
  <si>
    <t>6/8</t>
  </si>
  <si>
    <t>WED 06/08/03</t>
  </si>
  <si>
    <t>THU 07/08/03</t>
  </si>
  <si>
    <t>PORTFOLIO STATUS 7 AUGUST 2003</t>
  </si>
  <si>
    <t>SHIN-W1</t>
  </si>
  <si>
    <t>7/8</t>
  </si>
  <si>
    <t>FRI 08/08/03</t>
  </si>
  <si>
    <t>SHIN</t>
  </si>
  <si>
    <t>PORTFOLIO STATUS 8 AUGUST 2003</t>
  </si>
  <si>
    <t>8/8</t>
  </si>
  <si>
    <t>DAY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</si>
</sst>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_-;\-* #,##0.0_-;_-* &quot;-&quot;??_-;_-@_-"/>
    <numFmt numFmtId="198" formatCode="_-* #,##0_-;\-* #,##0_-;_-* &quot;-&quot;??_-;_-@_-"/>
    <numFmt numFmtId="199" formatCode="0.0%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/d"/>
    <numFmt numFmtId="204" formatCode="00000"/>
    <numFmt numFmtId="205" formatCode="_-* #,##0.000_-;\-* #,##0.000_-;_-* &quot;-&quot;???_-;_-@_-"/>
    <numFmt numFmtId="206" formatCode="_-* #,##0.0000_-;\-* #,##0.0000_-;_-* &quot;-&quot;????_-;_-@_-"/>
    <numFmt numFmtId="207" formatCode="0.00000"/>
    <numFmt numFmtId="208" formatCode="0.0000"/>
    <numFmt numFmtId="209" formatCode="0.000"/>
    <numFmt numFmtId="210" formatCode="d\-mmm\-yy"/>
  </numFmts>
  <fonts count="34">
    <font>
      <sz val="14"/>
      <name val="Cordia New"/>
      <family val="0"/>
    </font>
    <font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color indexed="9"/>
      <name val="Cordia New"/>
      <family val="2"/>
    </font>
    <font>
      <b/>
      <sz val="10.5"/>
      <name val="Cordia New"/>
      <family val="2"/>
    </font>
    <font>
      <b/>
      <sz val="10"/>
      <name val="Cordia New"/>
      <family val="2"/>
    </font>
    <font>
      <sz val="29"/>
      <name val="Cordia New"/>
      <family val="0"/>
    </font>
    <font>
      <sz val="20.25"/>
      <name val="Cordia New"/>
      <family val="0"/>
    </font>
    <font>
      <sz val="15.25"/>
      <name val="Cordia New"/>
      <family val="2"/>
    </font>
    <font>
      <b/>
      <sz val="25"/>
      <name val="Cordia New"/>
      <family val="0"/>
    </font>
    <font>
      <b/>
      <sz val="11.75"/>
      <name val="Cordia New"/>
      <family val="2"/>
    </font>
    <font>
      <sz val="23.5"/>
      <name val="Cordia New"/>
      <family val="0"/>
    </font>
    <font>
      <sz val="24"/>
      <name val="Cordia New"/>
      <family val="0"/>
    </font>
    <font>
      <sz val="15"/>
      <name val="Cordia New"/>
      <family val="2"/>
    </font>
    <font>
      <b/>
      <sz val="24"/>
      <name val="Cordia New"/>
      <family val="0"/>
    </font>
    <font>
      <b/>
      <sz val="14"/>
      <color indexed="9"/>
      <name val="BrowalliaUPC"/>
      <family val="2"/>
    </font>
    <font>
      <u val="singleAccounting"/>
      <sz val="12"/>
      <color indexed="9"/>
      <name val="Cordia New"/>
      <family val="2"/>
    </font>
    <font>
      <b/>
      <sz val="12"/>
      <color indexed="9"/>
      <name val="Cordia New"/>
      <family val="2"/>
    </font>
    <font>
      <b/>
      <u val="singleAccounting"/>
      <sz val="12"/>
      <color indexed="9"/>
      <name val="Cordia New"/>
      <family val="2"/>
    </font>
    <font>
      <b/>
      <sz val="14"/>
      <color indexed="9"/>
      <name val="Cordia New"/>
      <family val="2"/>
    </font>
    <font>
      <sz val="11"/>
      <color indexed="9"/>
      <name val="Cordia New"/>
      <family val="2"/>
    </font>
    <font>
      <sz val="11"/>
      <name val="Cordia New"/>
      <family val="2"/>
    </font>
    <font>
      <sz val="12"/>
      <color indexed="8"/>
      <name val="Cordia New"/>
      <family val="2"/>
    </font>
    <font>
      <sz val="12"/>
      <name val="BrowalliaUPC"/>
      <family val="2"/>
    </font>
    <font>
      <sz val="8"/>
      <name val="Tahoma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name val="Cordia New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0" xfId="15" applyNumberFormat="1" applyFont="1" applyBorder="1" applyAlignment="1">
      <alignment horizontal="center"/>
    </xf>
    <xf numFmtId="201" fontId="1" fillId="0" borderId="0" xfId="15" applyNumberFormat="1" applyFont="1" applyBorder="1" applyAlignment="1">
      <alignment horizontal="center"/>
    </xf>
    <xf numFmtId="10" fontId="1" fillId="0" borderId="1" xfId="15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1" fillId="2" borderId="2" xfId="0" applyNumberFormat="1" applyFont="1" applyFill="1" applyBorder="1" applyAlignment="1">
      <alignment horizontal="center"/>
    </xf>
    <xf numFmtId="201" fontId="21" fillId="3" borderId="3" xfId="15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10" fontId="21" fillId="3" borderId="3" xfId="0" applyNumberFormat="1" applyFont="1" applyFill="1" applyBorder="1" applyAlignment="1">
      <alignment horizontal="center"/>
    </xf>
    <xf numFmtId="43" fontId="21" fillId="4" borderId="3" xfId="15" applyFont="1" applyFill="1" applyBorder="1" applyAlignment="1">
      <alignment horizontal="center"/>
    </xf>
    <xf numFmtId="10" fontId="21" fillId="4" borderId="3" xfId="0" applyNumberFormat="1" applyFont="1" applyFill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01" fontId="1" fillId="0" borderId="0" xfId="15" applyNumberFormat="1" applyFont="1" applyFill="1" applyBorder="1" applyAlignment="1">
      <alignment horizontal="center"/>
    </xf>
    <xf numFmtId="43" fontId="1" fillId="0" borderId="0" xfId="15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43" fontId="1" fillId="0" borderId="0" xfId="15" applyFont="1" applyFill="1" applyAlignment="1">
      <alignment horizontal="center"/>
    </xf>
    <xf numFmtId="0" fontId="24" fillId="0" borderId="0" xfId="0" applyFont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98" fontId="4" fillId="6" borderId="0" xfId="15" applyNumberFormat="1" applyFont="1" applyFill="1" applyAlignment="1">
      <alignment horizontal="center" vertical="center"/>
    </xf>
    <xf numFmtId="43" fontId="4" fillId="6" borderId="0" xfId="15" applyFont="1" applyFill="1" applyAlignment="1">
      <alignment horizontal="center" vertical="center"/>
    </xf>
    <xf numFmtId="10" fontId="4" fillId="6" borderId="0" xfId="0" applyNumberFormat="1" applyFont="1" applyFill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4" fillId="6" borderId="0" xfId="15" applyNumberFormat="1" applyFont="1" applyFill="1" applyAlignment="1">
      <alignment horizontal="center" vertical="center"/>
    </xf>
    <xf numFmtId="43" fontId="17" fillId="6" borderId="0" xfId="15" applyFont="1" applyFill="1" applyAlignment="1">
      <alignment horizontal="center" vertical="center"/>
    </xf>
    <xf numFmtId="43" fontId="4" fillId="5" borderId="0" xfId="15" applyFont="1" applyFill="1" applyAlignment="1">
      <alignment horizontal="center" vertical="center"/>
    </xf>
    <xf numFmtId="43" fontId="17" fillId="5" borderId="0" xfId="15" applyFont="1" applyFill="1" applyAlignment="1">
      <alignment horizontal="center" vertical="center"/>
    </xf>
    <xf numFmtId="10" fontId="4" fillId="5" borderId="0" xfId="0" applyNumberFormat="1" applyFont="1" applyFill="1" applyAlignment="1">
      <alignment horizontal="center" vertical="center"/>
    </xf>
    <xf numFmtId="198" fontId="1" fillId="0" borderId="0" xfId="15" applyNumberFormat="1" applyFont="1" applyAlignment="1">
      <alignment horizontal="center" vertical="center"/>
    </xf>
    <xf numFmtId="43" fontId="1" fillId="0" borderId="0" xfId="15" applyFont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201" fontId="19" fillId="5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98" fontId="1" fillId="0" borderId="0" xfId="0" applyNumberFormat="1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43" fontId="19" fillId="7" borderId="0" xfId="0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43" fontId="19" fillId="8" borderId="0" xfId="0" applyNumberFormat="1" applyFont="1" applyFill="1" applyAlignment="1">
      <alignment horizontal="center" vertical="center"/>
    </xf>
    <xf numFmtId="43" fontId="1" fillId="0" borderId="0" xfId="0" applyNumberFormat="1" applyFont="1" applyAlignment="1">
      <alignment vertical="center"/>
    </xf>
    <xf numFmtId="16" fontId="4" fillId="9" borderId="0" xfId="0" applyNumberFormat="1" applyFont="1" applyFill="1" applyAlignment="1">
      <alignment horizontal="center" vertical="center"/>
    </xf>
    <xf numFmtId="201" fontId="23" fillId="0" borderId="0" xfId="19" applyNumberFormat="1" applyFont="1" applyAlignment="1">
      <alignment horizontal="center" vertical="center"/>
    </xf>
    <xf numFmtId="43" fontId="19" fillId="6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43" fontId="1" fillId="0" borderId="0" xfId="15" applyFont="1" applyFill="1" applyAlignment="1">
      <alignment vertical="center"/>
    </xf>
    <xf numFmtId="43" fontId="21" fillId="4" borderId="4" xfId="15" applyFont="1" applyFill="1" applyBorder="1" applyAlignment="1">
      <alignment horizontal="center"/>
    </xf>
    <xf numFmtId="43" fontId="1" fillId="10" borderId="0" xfId="15" applyFont="1" applyFill="1" applyAlignment="1">
      <alignment vertical="center"/>
    </xf>
    <xf numFmtId="43" fontId="1" fillId="11" borderId="0" xfId="15" applyFont="1" applyFill="1" applyAlignment="1">
      <alignment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198" fontId="28" fillId="0" borderId="0" xfId="15" applyNumberFormat="1" applyFont="1" applyBorder="1" applyAlignment="1">
      <alignment horizontal="center"/>
    </xf>
    <xf numFmtId="43" fontId="28" fillId="0" borderId="0" xfId="15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198" fontId="28" fillId="0" borderId="5" xfId="15" applyNumberFormat="1" applyFont="1" applyBorder="1" applyAlignment="1">
      <alignment horizontal="center"/>
    </xf>
    <xf numFmtId="43" fontId="28" fillId="0" borderId="5" xfId="15" applyFont="1" applyBorder="1" applyAlignment="1">
      <alignment horizontal="center"/>
    </xf>
    <xf numFmtId="43" fontId="29" fillId="12" borderId="5" xfId="15" applyFont="1" applyFill="1" applyBorder="1" applyAlignment="1">
      <alignment horizontal="center"/>
    </xf>
    <xf numFmtId="43" fontId="28" fillId="0" borderId="0" xfId="0" applyNumberFormat="1" applyFont="1" applyAlignment="1">
      <alignment horizontal="center"/>
    </xf>
    <xf numFmtId="43" fontId="30" fillId="0" borderId="0" xfId="0" applyNumberFormat="1" applyFont="1" applyAlignment="1">
      <alignment horizontal="center"/>
    </xf>
    <xf numFmtId="43" fontId="29" fillId="10" borderId="5" xfId="15" applyFont="1" applyFill="1" applyBorder="1" applyAlignment="1">
      <alignment horizontal="center"/>
    </xf>
    <xf numFmtId="43" fontId="28" fillId="12" borderId="5" xfId="15" applyFont="1" applyFill="1" applyBorder="1" applyAlignment="1">
      <alignment horizontal="center"/>
    </xf>
    <xf numFmtId="43" fontId="28" fillId="10" borderId="5" xfId="15" applyFont="1" applyFill="1" applyBorder="1" applyAlignment="1">
      <alignment horizontal="center"/>
    </xf>
    <xf numFmtId="43" fontId="28" fillId="0" borderId="5" xfId="0" applyNumberFormat="1" applyFont="1" applyBorder="1" applyAlignment="1">
      <alignment horizontal="center"/>
    </xf>
    <xf numFmtId="43" fontId="28" fillId="13" borderId="5" xfId="15" applyFont="1" applyFill="1" applyBorder="1" applyAlignment="1">
      <alignment horizontal="center"/>
    </xf>
    <xf numFmtId="43" fontId="30" fillId="0" borderId="0" xfId="0" applyNumberFormat="1" applyFont="1" applyFill="1" applyAlignment="1">
      <alignment horizontal="center"/>
    </xf>
    <xf numFmtId="43" fontId="31" fillId="0" borderId="0" xfId="0" applyNumberFormat="1" applyFont="1" applyAlignment="1">
      <alignment horizontal="center"/>
    </xf>
    <xf numFmtId="16" fontId="28" fillId="0" borderId="0" xfId="0" applyNumberFormat="1" applyFont="1" applyBorder="1" applyAlignment="1">
      <alignment horizontal="center"/>
    </xf>
    <xf numFmtId="0" fontId="28" fillId="14" borderId="0" xfId="0" applyFont="1" applyFill="1" applyBorder="1" applyAlignment="1">
      <alignment horizontal="center"/>
    </xf>
    <xf numFmtId="198" fontId="28" fillId="14" borderId="0" xfId="15" applyNumberFormat="1" applyFont="1" applyFill="1" applyBorder="1" applyAlignment="1">
      <alignment horizontal="center"/>
    </xf>
    <xf numFmtId="43" fontId="28" fillId="14" borderId="0" xfId="15" applyFont="1" applyFill="1" applyBorder="1" applyAlignment="1">
      <alignment horizontal="center"/>
    </xf>
    <xf numFmtId="0" fontId="29" fillId="14" borderId="0" xfId="0" applyFont="1" applyFill="1" applyBorder="1" applyAlignment="1">
      <alignment horizontal="center"/>
    </xf>
    <xf numFmtId="198" fontId="29" fillId="14" borderId="0" xfId="15" applyNumberFormat="1" applyFont="1" applyFill="1" applyBorder="1" applyAlignment="1">
      <alignment horizontal="center"/>
    </xf>
    <xf numFmtId="43" fontId="29" fillId="14" borderId="0" xfId="15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43" fontId="32" fillId="0" borderId="0" xfId="0" applyNumberFormat="1" applyFont="1" applyAlignment="1">
      <alignment horizontal="center"/>
    </xf>
    <xf numFmtId="0" fontId="28" fillId="0" borderId="6" xfId="0" applyFont="1" applyBorder="1" applyAlignment="1">
      <alignment horizontal="center"/>
    </xf>
    <xf numFmtId="198" fontId="28" fillId="0" borderId="6" xfId="15" applyNumberFormat="1" applyFont="1" applyBorder="1" applyAlignment="1">
      <alignment horizontal="center"/>
    </xf>
    <xf numFmtId="43" fontId="28" fillId="0" borderId="6" xfId="15" applyFont="1" applyBorder="1" applyAlignment="1">
      <alignment horizontal="center"/>
    </xf>
    <xf numFmtId="0" fontId="26" fillId="15" borderId="7" xfId="0" applyFont="1" applyFill="1" applyBorder="1" applyAlignment="1">
      <alignment horizontal="center"/>
    </xf>
    <xf numFmtId="0" fontId="26" fillId="15" borderId="5" xfId="0" applyFont="1" applyFill="1" applyBorder="1" applyAlignment="1">
      <alignment horizontal="center"/>
    </xf>
    <xf numFmtId="198" fontId="26" fillId="15" borderId="5" xfId="15" applyNumberFormat="1" applyFont="1" applyFill="1" applyBorder="1" applyAlignment="1">
      <alignment horizontal="center"/>
    </xf>
    <xf numFmtId="43" fontId="26" fillId="15" borderId="5" xfId="15" applyFont="1" applyFill="1" applyBorder="1" applyAlignment="1">
      <alignment horizontal="center"/>
    </xf>
    <xf numFmtId="43" fontId="26" fillId="15" borderId="8" xfId="15" applyFont="1" applyFill="1" applyBorder="1" applyAlignment="1">
      <alignment horizontal="center"/>
    </xf>
    <xf numFmtId="43" fontId="28" fillId="12" borderId="0" xfId="15" applyFont="1" applyFill="1" applyBorder="1" applyAlignment="1">
      <alignment horizontal="center"/>
    </xf>
    <xf numFmtId="210" fontId="28" fillId="0" borderId="0" xfId="0" applyNumberFormat="1" applyFont="1" applyBorder="1" applyAlignment="1">
      <alignment horizontal="center"/>
    </xf>
    <xf numFmtId="15" fontId="28" fillId="0" borderId="0" xfId="0" applyNumberFormat="1" applyFont="1" applyBorder="1" applyAlignment="1">
      <alignment horizontal="center"/>
    </xf>
    <xf numFmtId="43" fontId="27" fillId="0" borderId="0" xfId="15" applyFont="1" applyAlignment="1">
      <alignment horizontal="center"/>
    </xf>
    <xf numFmtId="43" fontId="28" fillId="0" borderId="0" xfId="15" applyFont="1" applyAlignment="1">
      <alignment horizontal="center"/>
    </xf>
    <xf numFmtId="3" fontId="28" fillId="0" borderId="0" xfId="15" applyNumberFormat="1" applyFont="1" applyBorder="1" applyAlignment="1">
      <alignment horizontal="center"/>
    </xf>
    <xf numFmtId="0" fontId="26" fillId="15" borderId="5" xfId="0" applyFont="1" applyFill="1" applyBorder="1" applyAlignment="1" quotePrefix="1">
      <alignment horizontal="center"/>
    </xf>
    <xf numFmtId="0" fontId="26" fillId="15" borderId="9" xfId="0" applyFont="1" applyFill="1" applyBorder="1" applyAlignment="1">
      <alignment horizontal="center"/>
    </xf>
    <xf numFmtId="0" fontId="26" fillId="15" borderId="10" xfId="0" applyFont="1" applyFill="1" applyBorder="1" applyAlignment="1">
      <alignment horizontal="center"/>
    </xf>
    <xf numFmtId="0" fontId="26" fillId="15" borderId="4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vertical="center"/>
    </xf>
    <xf numFmtId="0" fontId="20" fillId="2" borderId="12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chartsheet" Target="chartsheets/sheet1.xml" /><Relationship Id="rId23" Type="http://schemas.openxmlformats.org/officeDocument/2006/relationships/chartsheet" Target="chartsheets/sheet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Cordia New"/>
                <a:ea typeface="Cordia New"/>
                <a:cs typeface="Cordia New"/>
              </a:rPr>
              <a:t>PERCENTAGE CHANGE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8625"/>
          <c:w val="0.69675"/>
          <c:h val="0.731"/>
        </c:manualLayout>
      </c:layout>
      <c:lineChart>
        <c:grouping val="standard"/>
        <c:varyColors val="0"/>
        <c:ser>
          <c:idx val="0"/>
          <c:order val="0"/>
          <c:tx>
            <c:v>% CHANGE OF NAV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'Perf.'!$A$4:$A$200</c:f>
              <c:strCache>
                <c:ptCount val="1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</c:strCache>
            </c:strRef>
          </c:cat>
          <c:val>
            <c:numRef>
              <c:f>'Perf.'!$D$3:$D$200</c:f>
              <c:numCache>
                <c:ptCount val="198"/>
                <c:pt idx="0">
                  <c:v>0</c:v>
                </c:pt>
                <c:pt idx="1">
                  <c:v>0.0165297424820363</c:v>
                </c:pt>
                <c:pt idx="2">
                  <c:v>0.022780721533901635</c:v>
                </c:pt>
                <c:pt idx="3">
                  <c:v>0.010470877585958983</c:v>
                </c:pt>
                <c:pt idx="4">
                  <c:v>0.011242932569015656</c:v>
                </c:pt>
                <c:pt idx="5">
                  <c:v>-0.0036930207422962206</c:v>
                </c:pt>
                <c:pt idx="6">
                  <c:v>0.002665271512524949</c:v>
                </c:pt>
                <c:pt idx="7">
                  <c:v>0.0029904600635737395</c:v>
                </c:pt>
                <c:pt idx="8">
                  <c:v>0.01921439386553047</c:v>
                </c:pt>
                <c:pt idx="9">
                  <c:v>-0.008735360082142393</c:v>
                </c:pt>
                <c:pt idx="10">
                  <c:v>-0.030822750161719398</c:v>
                </c:pt>
                <c:pt idx="11">
                  <c:v>-0.003017759688705034</c:v>
                </c:pt>
                <c:pt idx="12">
                  <c:v>0.011653286333418337</c:v>
                </c:pt>
                <c:pt idx="13">
                  <c:v>-0.0028462837924150487</c:v>
                </c:pt>
                <c:pt idx="14">
                  <c:v>0.004054393282969924</c:v>
                </c:pt>
                <c:pt idx="15">
                  <c:v>-0.017984529958852576</c:v>
                </c:pt>
                <c:pt idx="16">
                  <c:v>-0.0012016401282240914</c:v>
                </c:pt>
                <c:pt idx="17">
                  <c:v>-0.0036092574132132516</c:v>
                </c:pt>
                <c:pt idx="18">
                  <c:v>-0.02906114931188196</c:v>
                </c:pt>
                <c:pt idx="19">
                  <c:v>0.004074633256114305</c:v>
                </c:pt>
                <c:pt idx="20">
                  <c:v>-0.01605497462726543</c:v>
                </c:pt>
                <c:pt idx="21">
                  <c:v>0.00896856744628476</c:v>
                </c:pt>
                <c:pt idx="22">
                  <c:v>0.004710498109871698</c:v>
                </c:pt>
                <c:pt idx="23">
                  <c:v>0.008820425466115226</c:v>
                </c:pt>
                <c:pt idx="24">
                  <c:v>0</c:v>
                </c:pt>
                <c:pt idx="25">
                  <c:v>-0.002622597910381108</c:v>
                </c:pt>
                <c:pt idx="26">
                  <c:v>-0.0029614642914121496</c:v>
                </c:pt>
                <c:pt idx="27">
                  <c:v>-0.0029702606121512235</c:v>
                </c:pt>
                <c:pt idx="28">
                  <c:v>0.013661058053092945</c:v>
                </c:pt>
                <c:pt idx="29">
                  <c:v>0</c:v>
                </c:pt>
                <c:pt idx="30">
                  <c:v>-0.012551462084081354</c:v>
                </c:pt>
                <c:pt idx="31">
                  <c:v>-0.003177750941474915</c:v>
                </c:pt>
                <c:pt idx="32">
                  <c:v>-0.0021252541560451894</c:v>
                </c:pt>
                <c:pt idx="33">
                  <c:v>-0.003194670721295413</c:v>
                </c:pt>
                <c:pt idx="34">
                  <c:v>0.008965235368987818</c:v>
                </c:pt>
                <c:pt idx="35">
                  <c:v>0.007411674414248743</c:v>
                </c:pt>
                <c:pt idx="36">
                  <c:v>-0.00560544430179166</c:v>
                </c:pt>
                <c:pt idx="37">
                  <c:v>-0.00581320000506637</c:v>
                </c:pt>
                <c:pt idx="38">
                  <c:v>0.0032575161164972266</c:v>
                </c:pt>
                <c:pt idx="39">
                  <c:v>0.00160600757003349</c:v>
                </c:pt>
                <c:pt idx="40">
                  <c:v>0.0004957316307553574</c:v>
                </c:pt>
                <c:pt idx="41">
                  <c:v>-0.0023562814474334163</c:v>
                </c:pt>
                <c:pt idx="42">
                  <c:v>-5.171506333303722E-06</c:v>
                </c:pt>
                <c:pt idx="43">
                  <c:v>0.001397190396525351</c:v>
                </c:pt>
                <c:pt idx="44">
                  <c:v>0.02708696849920195</c:v>
                </c:pt>
                <c:pt idx="45">
                  <c:v>0.026754228239548625</c:v>
                </c:pt>
                <c:pt idx="46">
                  <c:v>0.00035292109580283644</c:v>
                </c:pt>
                <c:pt idx="47">
                  <c:v>-0.0015336966727098422</c:v>
                </c:pt>
                <c:pt idx="48">
                  <c:v>0.0015303452228933602</c:v>
                </c:pt>
                <c:pt idx="49">
                  <c:v>0.0034082342501866743</c:v>
                </c:pt>
                <c:pt idx="50">
                  <c:v>-0.008078848309530798</c:v>
                </c:pt>
                <c:pt idx="51">
                  <c:v>-0.03883792302329507</c:v>
                </c:pt>
                <c:pt idx="52">
                  <c:v>-0.009619262171482058</c:v>
                </c:pt>
                <c:pt idx="53">
                  <c:v>0.019214333807906013</c:v>
                </c:pt>
                <c:pt idx="54">
                  <c:v>0.038867763438918984</c:v>
                </c:pt>
                <c:pt idx="55">
                  <c:v>0.023485603168873895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0.0016147645594413972</c:v>
                </c:pt>
                <c:pt idx="64">
                  <c:v>0.020778899759908643</c:v>
                </c:pt>
                <c:pt idx="65">
                  <c:v>-0.00912601533465642</c:v>
                </c:pt>
                <c:pt idx="66">
                  <c:v>0.001203138666906898</c:v>
                </c:pt>
                <c:pt idx="67">
                  <c:v>0</c:v>
                </c:pt>
                <c:pt idx="68">
                  <c:v>0.0017315958150911875</c:v>
                </c:pt>
                <c:pt idx="69">
                  <c:v>2.2264660928334562E-15</c:v>
                </c:pt>
                <c:pt idx="70">
                  <c:v>0</c:v>
                </c:pt>
                <c:pt idx="71">
                  <c:v>-0.001728602574110129</c:v>
                </c:pt>
                <c:pt idx="72">
                  <c:v>0.0069263832603645905</c:v>
                </c:pt>
                <c:pt idx="73">
                  <c:v>-0.0034393692406475816</c:v>
                </c:pt>
                <c:pt idx="74">
                  <c:v>-0.001977190161532875</c:v>
                </c:pt>
                <c:pt idx="75">
                  <c:v>0.01059912172714806</c:v>
                </c:pt>
                <c:pt idx="76">
                  <c:v>0.0022838488847602796</c:v>
                </c:pt>
                <c:pt idx="77">
                  <c:v>-0.033385223169574534</c:v>
                </c:pt>
                <c:pt idx="78">
                  <c:v>0.0007305095652438775</c:v>
                </c:pt>
                <c:pt idx="79">
                  <c:v>0.012119218230384414</c:v>
                </c:pt>
                <c:pt idx="80">
                  <c:v>-0.01062463520766391</c:v>
                </c:pt>
                <c:pt idx="81">
                  <c:v>-0.017261425222125204</c:v>
                </c:pt>
                <c:pt idx="82">
                  <c:v>-0.009218308854189955</c:v>
                </c:pt>
                <c:pt idx="83">
                  <c:v>-0.0033890514316329565</c:v>
                </c:pt>
                <c:pt idx="84">
                  <c:v>-0.04064509315139837</c:v>
                </c:pt>
                <c:pt idx="85">
                  <c:v>-0.00986751349610809</c:v>
                </c:pt>
                <c:pt idx="86">
                  <c:v>0.004775374345156938</c:v>
                </c:pt>
                <c:pt idx="87">
                  <c:v>0.010069947476305224</c:v>
                </c:pt>
                <c:pt idx="88">
                  <c:v>0.027727359981855937</c:v>
                </c:pt>
                <c:pt idx="89">
                  <c:v>0.004572170325626351</c:v>
                </c:pt>
                <c:pt idx="90">
                  <c:v>-0.0033449084459687742</c:v>
                </c:pt>
                <c:pt idx="91">
                  <c:v>-0.00444991937070694</c:v>
                </c:pt>
                <c:pt idx="92">
                  <c:v>-0.006550372732230861</c:v>
                </c:pt>
                <c:pt idx="93">
                  <c:v>-0.008749799733069361</c:v>
                </c:pt>
                <c:pt idx="94">
                  <c:v>-0.005175650208919592</c:v>
                </c:pt>
                <c:pt idx="95">
                  <c:v>0</c:v>
                </c:pt>
                <c:pt idx="96">
                  <c:v>-7.38354246706918E-06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-0.015297437914604204</c:v>
                </c:pt>
                <c:pt idx="102">
                  <c:v>-0.01945340996653143</c:v>
                </c:pt>
                <c:pt idx="103">
                  <c:v>-0.05966755007320447</c:v>
                </c:pt>
                <c:pt idx="104">
                  <c:v>0.007663075399842655</c:v>
                </c:pt>
                <c:pt idx="105">
                  <c:v>0.011085214331648236</c:v>
                </c:pt>
                <c:pt idx="106">
                  <c:v>0</c:v>
                </c:pt>
                <c:pt idx="107">
                  <c:v>0</c:v>
                </c:pt>
                <c:pt idx="108">
                  <c:v>-0.07694252443540091</c:v>
                </c:pt>
                <c:pt idx="109">
                  <c:v>0.016791066352928784</c:v>
                </c:pt>
                <c:pt idx="110">
                  <c:v>0.032697479572792176</c:v>
                </c:pt>
                <c:pt idx="111">
                  <c:v>0.00697040083903419</c:v>
                </c:pt>
                <c:pt idx="112">
                  <c:v>0.015360521088297066</c:v>
                </c:pt>
                <c:pt idx="113">
                  <c:v>-0.0074470412145712225</c:v>
                </c:pt>
                <c:pt idx="114">
                  <c:v>-0.0034367000481092687</c:v>
                </c:pt>
                <c:pt idx="115">
                  <c:v>0</c:v>
                </c:pt>
                <c:pt idx="116">
                  <c:v>0</c:v>
                </c:pt>
                <c:pt idx="117">
                  <c:v>0.008169836229976163</c:v>
                </c:pt>
                <c:pt idx="118">
                  <c:v>-0.010418954004918709</c:v>
                </c:pt>
                <c:pt idx="119">
                  <c:v>-0.005849250856143702</c:v>
                </c:pt>
                <c:pt idx="120">
                  <c:v>-0.004579453287427254</c:v>
                </c:pt>
                <c:pt idx="121">
                  <c:v>-0.003940489215566439</c:v>
                </c:pt>
                <c:pt idx="122">
                  <c:v>0.0032110694711122998</c:v>
                </c:pt>
                <c:pt idx="123">
                  <c:v>-0.0050147936477783666</c:v>
                </c:pt>
                <c:pt idx="124">
                  <c:v>-0.012279280033492606</c:v>
                </c:pt>
                <c:pt idx="125">
                  <c:v>-0.005416179789606482</c:v>
                </c:pt>
                <c:pt idx="126">
                  <c:v>0.017062844128350938</c:v>
                </c:pt>
                <c:pt idx="127">
                  <c:v>0.012064004329281775</c:v>
                </c:pt>
                <c:pt idx="128">
                  <c:v>0.0032136307612549123</c:v>
                </c:pt>
                <c:pt idx="129">
                  <c:v>0.00784285186632828</c:v>
                </c:pt>
                <c:pt idx="130">
                  <c:v>0.0032028937145490424</c:v>
                </c:pt>
                <c:pt idx="131">
                  <c:v>-0.003487522236296443</c:v>
                </c:pt>
                <c:pt idx="132">
                  <c:v>0.00287712002218259</c:v>
                </c:pt>
                <c:pt idx="133">
                  <c:v>-0.0063108410131297536</c:v>
                </c:pt>
                <c:pt idx="134">
                  <c:v>-0.00223230954788226</c:v>
                </c:pt>
                <c:pt idx="135">
                  <c:v>0.0030306145782613134</c:v>
                </c:pt>
                <c:pt idx="136">
                  <c:v>-0.02669217633745993</c:v>
                </c:pt>
                <c:pt idx="137">
                  <c:v>-0.020396262078342615</c:v>
                </c:pt>
                <c:pt idx="138">
                  <c:v>0.007018291432182685</c:v>
                </c:pt>
                <c:pt idx="139">
                  <c:v>0.0023231261013808937</c:v>
                </c:pt>
                <c:pt idx="140">
                  <c:v>0.005639838124871766</c:v>
                </c:pt>
                <c:pt idx="141">
                  <c:v>0.0007180919479358783</c:v>
                </c:pt>
                <c:pt idx="142">
                  <c:v>-0.01159221707911209</c:v>
                </c:pt>
                <c:pt idx="143">
                  <c:v>-0.0027961206203093855</c:v>
                </c:pt>
                <c:pt idx="144">
                  <c:v>0.0024145218284280525</c:v>
                </c:pt>
                <c:pt idx="145">
                  <c:v>-0.0004662011526426583</c:v>
                </c:pt>
                <c:pt idx="146">
                  <c:v>0.00885837281297903</c:v>
                </c:pt>
                <c:pt idx="147">
                  <c:v>0.006626632054041446</c:v>
                </c:pt>
                <c:pt idx="148">
                  <c:v>-0.003848151421335226</c:v>
                </c:pt>
                <c:pt idx="149">
                  <c:v>0.0006646860308775419</c:v>
                </c:pt>
                <c:pt idx="150">
                  <c:v>0.0018929048947701342</c:v>
                </c:pt>
                <c:pt idx="151">
                  <c:v>0.005211940897825557</c:v>
                </c:pt>
                <c:pt idx="152">
                  <c:v>-0.0010674829971439525</c:v>
                </c:pt>
                <c:pt idx="153">
                  <c:v>0.007774451395500023</c:v>
                </c:pt>
                <c:pt idx="154">
                  <c:v>-0.0055556330684820715</c:v>
                </c:pt>
                <c:pt idx="155">
                  <c:v>-0.006093164891821415</c:v>
                </c:pt>
                <c:pt idx="156">
                  <c:v>0.0027587336201599514</c:v>
                </c:pt>
                <c:pt idx="157">
                  <c:v>0.017271070333064565</c:v>
                </c:pt>
                <c:pt idx="158">
                  <c:v>0.008864538425861806</c:v>
                </c:pt>
                <c:pt idx="159">
                  <c:v>-0.01191108883267055</c:v>
                </c:pt>
                <c:pt idx="160">
                  <c:v>0.02574700174054619</c:v>
                </c:pt>
                <c:pt idx="161">
                  <c:v>0.0011755063074462412</c:v>
                </c:pt>
                <c:pt idx="162">
                  <c:v>-0.0019813378187124066</c:v>
                </c:pt>
                <c:pt idx="163">
                  <c:v>0.00012499337315754902</c:v>
                </c:pt>
                <c:pt idx="164">
                  <c:v>0.022480626880099237</c:v>
                </c:pt>
                <c:pt idx="165">
                  <c:v>0.005556135406193372</c:v>
                </c:pt>
                <c:pt idx="166">
                  <c:v>-0.001143485159838092</c:v>
                </c:pt>
                <c:pt idx="167">
                  <c:v>0.000737568110090906</c:v>
                </c:pt>
                <c:pt idx="168">
                  <c:v>0.02049259783037184</c:v>
                </c:pt>
                <c:pt idx="169">
                  <c:v>-0.004602670165186532</c:v>
                </c:pt>
                <c:pt idx="170">
                  <c:v>0.0016687967030580364</c:v>
                </c:pt>
                <c:pt idx="171">
                  <c:v>-0.005832903267482223</c:v>
                </c:pt>
                <c:pt idx="172">
                  <c:v>0.015712363901338323</c:v>
                </c:pt>
                <c:pt idx="173">
                  <c:v>0.0006076879396420613</c:v>
                </c:pt>
                <c:pt idx="174">
                  <c:v>-0.00458922956431118</c:v>
                </c:pt>
                <c:pt idx="175">
                  <c:v>0.006397873173359203</c:v>
                </c:pt>
                <c:pt idx="176">
                  <c:v>0.020516202002668606</c:v>
                </c:pt>
                <c:pt idx="177">
                  <c:v>0.02104355487642921</c:v>
                </c:pt>
                <c:pt idx="178">
                  <c:v>0.008814232223238358</c:v>
                </c:pt>
                <c:pt idx="179">
                  <c:v>-0.003590493405490807</c:v>
                </c:pt>
                <c:pt idx="180">
                  <c:v>-0.003079270757927297</c:v>
                </c:pt>
                <c:pt idx="181">
                  <c:v>0.004097924935491966</c:v>
                </c:pt>
                <c:pt idx="182">
                  <c:v>-0.013993263418279448</c:v>
                </c:pt>
                <c:pt idx="183">
                  <c:v>-0.019626588341099337</c:v>
                </c:pt>
                <c:pt idx="184">
                  <c:v>0.009934294015474184</c:v>
                </c:pt>
                <c:pt idx="185">
                  <c:v>-0.0002145697287969832</c:v>
                </c:pt>
                <c:pt idx="186">
                  <c:v>-0.0011333601735186978</c:v>
                </c:pt>
                <c:pt idx="187">
                  <c:v>-0.022919851952461368</c:v>
                </c:pt>
                <c:pt idx="188">
                  <c:v>0.012309378169635796</c:v>
                </c:pt>
                <c:pt idx="189">
                  <c:v>0.009100655844652177</c:v>
                </c:pt>
                <c:pt idx="190">
                  <c:v>0.02635184305552158</c:v>
                </c:pt>
                <c:pt idx="191">
                  <c:v>-0.013734343942591633</c:v>
                </c:pt>
                <c:pt idx="192">
                  <c:v>0.030554794359969707</c:v>
                </c:pt>
                <c:pt idx="193">
                  <c:v>0.0015489323642183365</c:v>
                </c:pt>
                <c:pt idx="194">
                  <c:v>0.01916598470477661</c:v>
                </c:pt>
              </c:numCache>
            </c:numRef>
          </c:val>
          <c:smooth val="0"/>
        </c:ser>
        <c:ser>
          <c:idx val="1"/>
          <c:order val="1"/>
          <c:tx>
            <c:v>% CHANGE OF SET INDEX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'Perf.'!$A$4:$A$200</c:f>
              <c:strCache>
                <c:ptCount val="1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</c:strCache>
            </c:strRef>
          </c:cat>
          <c:val>
            <c:numRef>
              <c:f>'Perf.'!$H$3:$H$200</c:f>
              <c:numCache>
                <c:ptCount val="198"/>
                <c:pt idx="0">
                  <c:v>0</c:v>
                </c:pt>
                <c:pt idx="1">
                  <c:v>0.005605902172650189</c:v>
                </c:pt>
                <c:pt idx="2">
                  <c:v>0.0010975997227116359</c:v>
                </c:pt>
                <c:pt idx="3">
                  <c:v>0.005395423987997359</c:v>
                </c:pt>
                <c:pt idx="4">
                  <c:v>0.025713137806348037</c:v>
                </c:pt>
                <c:pt idx="5">
                  <c:v>-0.009708466230205437</c:v>
                </c:pt>
                <c:pt idx="6">
                  <c:v>0.002966520695013452</c:v>
                </c:pt>
                <c:pt idx="7">
                  <c:v>0.00625352112676064</c:v>
                </c:pt>
                <c:pt idx="8">
                  <c:v>0.0012877218520798933</c:v>
                </c:pt>
                <c:pt idx="9">
                  <c:v>0.0031312905390293126</c:v>
                </c:pt>
                <c:pt idx="10">
                  <c:v>-0.008444816053511788</c:v>
                </c:pt>
                <c:pt idx="11">
                  <c:v>-0.005537285324788404</c:v>
                </c:pt>
                <c:pt idx="12">
                  <c:v>0.010344827586206806</c:v>
                </c:pt>
                <c:pt idx="13">
                  <c:v>-0.00688188888267213</c:v>
                </c:pt>
                <c:pt idx="14">
                  <c:v>-0.01307042253521123</c:v>
                </c:pt>
                <c:pt idx="15">
                  <c:v>-0.015098755565703906</c:v>
                </c:pt>
                <c:pt idx="16">
                  <c:v>-0.004057147825078903</c:v>
                </c:pt>
                <c:pt idx="17">
                  <c:v>0.015363575523030734</c:v>
                </c:pt>
                <c:pt idx="18">
                  <c:v>0.02089124516406368</c:v>
                </c:pt>
                <c:pt idx="19">
                  <c:v>0.002414102852009919</c:v>
                </c:pt>
                <c:pt idx="20">
                  <c:v>-0.00974516942033049</c:v>
                </c:pt>
                <c:pt idx="21">
                  <c:v>-0.004072167863808602</c:v>
                </c:pt>
                <c:pt idx="22">
                  <c:v>0.01777500141972852</c:v>
                </c:pt>
                <c:pt idx="23">
                  <c:v>0.01157794888963279</c:v>
                </c:pt>
                <c:pt idx="24">
                  <c:v>0.005350395763810359</c:v>
                </c:pt>
                <c:pt idx="25">
                  <c:v>-0.009107618028694465</c:v>
                </c:pt>
                <c:pt idx="26">
                  <c:v>0.00038758616871084194</c:v>
                </c:pt>
                <c:pt idx="27">
                  <c:v>0.008136156081361553</c:v>
                </c:pt>
                <c:pt idx="28">
                  <c:v>0.001674490104037873</c:v>
                </c:pt>
                <c:pt idx="29">
                  <c:v>0.004850644012058205</c:v>
                </c:pt>
                <c:pt idx="30">
                  <c:v>-0.006763574876592081</c:v>
                </c:pt>
                <c:pt idx="31">
                  <c:v>0.002059364617370054</c:v>
                </c:pt>
                <c:pt idx="32">
                  <c:v>0.00041102647010461246</c:v>
                </c:pt>
                <c:pt idx="33">
                  <c:v>0.0007121531677122019</c:v>
                </c:pt>
                <c:pt idx="34">
                  <c:v>0.00030108115505667656</c:v>
                </c:pt>
                <c:pt idx="35">
                  <c:v>-0.01094511027198599</c:v>
                </c:pt>
                <c:pt idx="36">
                  <c:v>-0.01455209428429146</c:v>
                </c:pt>
                <c:pt idx="37">
                  <c:v>-0.006372824256035884</c:v>
                </c:pt>
                <c:pt idx="38">
                  <c:v>-0.0031079592009720077</c:v>
                </c:pt>
                <c:pt idx="39">
                  <c:v>-0.00626363971317626</c:v>
                </c:pt>
                <c:pt idx="40">
                  <c:v>-0.0010552735154868648</c:v>
                </c:pt>
                <c:pt idx="41">
                  <c:v>-0.0006852248394004542</c:v>
                </c:pt>
                <c:pt idx="42">
                  <c:v>0.0015428130624839875</c:v>
                </c:pt>
                <c:pt idx="43">
                  <c:v>0.001084010840108388</c:v>
                </c:pt>
                <c:pt idx="44">
                  <c:v>0.0070669364260679286</c:v>
                </c:pt>
                <c:pt idx="45">
                  <c:v>0.005517670694094645</c:v>
                </c:pt>
                <c:pt idx="46">
                  <c:v>0.003151733453399382</c:v>
                </c:pt>
                <c:pt idx="47">
                  <c:v>-0.01391382405745073</c:v>
                </c:pt>
                <c:pt idx="48">
                  <c:v>0.01624374146563506</c:v>
                </c:pt>
                <c:pt idx="49">
                  <c:v>0.019371273409288018</c:v>
                </c:pt>
                <c:pt idx="50">
                  <c:v>0.0037347247013593677</c:v>
                </c:pt>
                <c:pt idx="51">
                  <c:v>-0.013953106618149889</c:v>
                </c:pt>
                <c:pt idx="52">
                  <c:v>-0.004578119364057696</c:v>
                </c:pt>
                <c:pt idx="53">
                  <c:v>0.00448767978592935</c:v>
                </c:pt>
                <c:pt idx="54">
                  <c:v>0.010211726836307148</c:v>
                </c:pt>
                <c:pt idx="55">
                  <c:v>0.025491003982969298</c:v>
                </c:pt>
                <c:pt idx="56">
                  <c:v>-0.004044678970347926</c:v>
                </c:pt>
                <c:pt idx="57">
                  <c:v>-0.0036038943574847374</c:v>
                </c:pt>
                <c:pt idx="58">
                  <c:v>-0.008961347441157399</c:v>
                </c:pt>
                <c:pt idx="59">
                  <c:v>0.011684279333260604</c:v>
                </c:pt>
                <c:pt idx="60">
                  <c:v>0.012006999596177242</c:v>
                </c:pt>
                <c:pt idx="61">
                  <c:v>-0.007288978744912369</c:v>
                </c:pt>
                <c:pt idx="62">
                  <c:v>0.009084331537904939</c:v>
                </c:pt>
                <c:pt idx="63">
                  <c:v>-0.0006904610155087925</c:v>
                </c:pt>
                <c:pt idx="64">
                  <c:v>-0.014615997874036673</c:v>
                </c:pt>
                <c:pt idx="65">
                  <c:v>0.010679611650485381</c:v>
                </c:pt>
                <c:pt idx="66">
                  <c:v>-0.013528658341338439</c:v>
                </c:pt>
                <c:pt idx="67">
                  <c:v>0.0016500311071438601</c:v>
                </c:pt>
                <c:pt idx="68">
                  <c:v>-0.0007831487982717268</c:v>
                </c:pt>
                <c:pt idx="69">
                  <c:v>0.006459284884192283</c:v>
                </c:pt>
                <c:pt idx="70">
                  <c:v>0.002604726100966776</c:v>
                </c:pt>
                <c:pt idx="71">
                  <c:v>-0.00024104775423850828</c:v>
                </c:pt>
                <c:pt idx="72">
                  <c:v>0.01559151307329632</c:v>
                </c:pt>
                <c:pt idx="73">
                  <c:v>-0.0003956739646532158</c:v>
                </c:pt>
                <c:pt idx="74">
                  <c:v>-0.009156880854993985</c:v>
                </c:pt>
                <c:pt idx="75">
                  <c:v>0.009747523170341877</c:v>
                </c:pt>
                <c:pt idx="76">
                  <c:v>0.0029540539114838965</c:v>
                </c:pt>
                <c:pt idx="77">
                  <c:v>-0.026324094040919347</c:v>
                </c:pt>
                <c:pt idx="78">
                  <c:v>-0.004159351789331588</c:v>
                </c:pt>
                <c:pt idx="79">
                  <c:v>0.004719155976241516</c:v>
                </c:pt>
                <c:pt idx="80">
                  <c:v>0.0019705763260899397</c:v>
                </c:pt>
                <c:pt idx="81">
                  <c:v>-0.01821218815668945</c:v>
                </c:pt>
                <c:pt idx="82">
                  <c:v>-0.01341858295373482</c:v>
                </c:pt>
                <c:pt idx="83">
                  <c:v>0.007120407198286659</c:v>
                </c:pt>
                <c:pt idx="84">
                  <c:v>-0.01472009721339994</c:v>
                </c:pt>
                <c:pt idx="85">
                  <c:v>-0.002074223567664562</c:v>
                </c:pt>
                <c:pt idx="86">
                  <c:v>0.008061344868265841</c:v>
                </c:pt>
                <c:pt idx="87">
                  <c:v>0.006770876870350266</c:v>
                </c:pt>
                <c:pt idx="88">
                  <c:v>0.017574449241669496</c:v>
                </c:pt>
                <c:pt idx="89">
                  <c:v>-0.008485870481681954</c:v>
                </c:pt>
                <c:pt idx="90">
                  <c:v>-0.012755451927033421</c:v>
                </c:pt>
                <c:pt idx="91">
                  <c:v>-0.0026118366212836835</c:v>
                </c:pt>
                <c:pt idx="92">
                  <c:v>-0.0013371963449965495</c:v>
                </c:pt>
                <c:pt idx="93">
                  <c:v>-0.014477795135014498</c:v>
                </c:pt>
                <c:pt idx="94">
                  <c:v>-0.006538537745195172</c:v>
                </c:pt>
                <c:pt idx="95">
                  <c:v>0.004159781184112996</c:v>
                </c:pt>
                <c:pt idx="96">
                  <c:v>0.002950856883441211</c:v>
                </c:pt>
                <c:pt idx="97">
                  <c:v>0.013466108407830685</c:v>
                </c:pt>
                <c:pt idx="98">
                  <c:v>-0.01013287181777578</c:v>
                </c:pt>
                <c:pt idx="99">
                  <c:v>0.023236795352640956</c:v>
                </c:pt>
                <c:pt idx="100">
                  <c:v>-0.004740250792338507</c:v>
                </c:pt>
                <c:pt idx="101">
                  <c:v>0.008224185196466722</c:v>
                </c:pt>
                <c:pt idx="102">
                  <c:v>-0.0013183191430926069</c:v>
                </c:pt>
                <c:pt idx="103">
                  <c:v>-0.006435289588031549</c:v>
                </c:pt>
                <c:pt idx="104">
                  <c:v>0.006809123117803467</c:v>
                </c:pt>
                <c:pt idx="105">
                  <c:v>0.012096552482542412</c:v>
                </c:pt>
                <c:pt idx="106">
                  <c:v>0.0021730863258543256</c:v>
                </c:pt>
                <c:pt idx="107">
                  <c:v>0.001599176017780601</c:v>
                </c:pt>
                <c:pt idx="108">
                  <c:v>-0.01347657835629032</c:v>
                </c:pt>
                <c:pt idx="109">
                  <c:v>-0.006391441503223108</c:v>
                </c:pt>
                <c:pt idx="110">
                  <c:v>0.0022086025067637196</c:v>
                </c:pt>
                <c:pt idx="111">
                  <c:v>0.005784805244890151</c:v>
                </c:pt>
                <c:pt idx="112">
                  <c:v>0.0186514022787029</c:v>
                </c:pt>
                <c:pt idx="113">
                  <c:v>0.010458957330680467</c:v>
                </c:pt>
                <c:pt idx="114">
                  <c:v>0.0010111223458038302</c:v>
                </c:pt>
                <c:pt idx="115">
                  <c:v>-0.0031366294524189445</c:v>
                </c:pt>
                <c:pt idx="116">
                  <c:v>0.022238813929923825</c:v>
                </c:pt>
                <c:pt idx="117">
                  <c:v>0.008295075125208698</c:v>
                </c:pt>
                <c:pt idx="118">
                  <c:v>-0.004941273865576719</c:v>
                </c:pt>
                <c:pt idx="119">
                  <c:v>-0.00033798715648804164</c:v>
                </c:pt>
                <c:pt idx="120">
                  <c:v>0.002600780234070221</c:v>
                </c:pt>
                <c:pt idx="121">
                  <c:v>-0.016939040207522627</c:v>
                </c:pt>
                <c:pt idx="122">
                  <c:v>-0.009446658046811201</c:v>
                </c:pt>
                <c:pt idx="123">
                  <c:v>-0.01513093049894778</c:v>
                </c:pt>
                <c:pt idx="124">
                  <c:v>-0.0031916907846690837</c:v>
                </c:pt>
                <c:pt idx="125">
                  <c:v>0.000868314655523431</c:v>
                </c:pt>
                <c:pt idx="126">
                  <c:v>0.011169852243459413</c:v>
                </c:pt>
                <c:pt idx="127">
                  <c:v>0.004450760114754452</c:v>
                </c:pt>
                <c:pt idx="128">
                  <c:v>0.0016282732295865617</c:v>
                </c:pt>
                <c:pt idx="129">
                  <c:v>0.01281846285044239</c:v>
                </c:pt>
                <c:pt idx="130">
                  <c:v>-0.0015787396395211754</c:v>
                </c:pt>
                <c:pt idx="131">
                  <c:v>-0.003294241665568586</c:v>
                </c:pt>
                <c:pt idx="132">
                  <c:v>0.01618191433104179</c:v>
                </c:pt>
                <c:pt idx="133">
                  <c:v>-0.002159658617818443</c:v>
                </c:pt>
                <c:pt idx="134">
                  <c:v>0.0086051787530314</c:v>
                </c:pt>
                <c:pt idx="135">
                  <c:v>-0.004059050130561786</c:v>
                </c:pt>
                <c:pt idx="136">
                  <c:v>-0.0057629406572868155</c:v>
                </c:pt>
                <c:pt idx="137">
                  <c:v>-0.010365535248041846</c:v>
                </c:pt>
                <c:pt idx="138">
                  <c:v>0.010394955544416154</c:v>
                </c:pt>
                <c:pt idx="139">
                  <c:v>0.011489150586207737</c:v>
                </c:pt>
                <c:pt idx="140">
                  <c:v>0.0032268890208327953</c:v>
                </c:pt>
                <c:pt idx="141">
                  <c:v>0.017755133549482726</c:v>
                </c:pt>
                <c:pt idx="142">
                  <c:v>0.003438511326860876</c:v>
                </c:pt>
                <c:pt idx="143">
                  <c:v>0.009599879056641811</c:v>
                </c:pt>
                <c:pt idx="144">
                  <c:v>0.0057151413811176235</c:v>
                </c:pt>
                <c:pt idx="145">
                  <c:v>0.0010422353466672267</c:v>
                </c:pt>
                <c:pt idx="146">
                  <c:v>0.0010411502231036588</c:v>
                </c:pt>
                <c:pt idx="147">
                  <c:v>0.002377296815412757</c:v>
                </c:pt>
                <c:pt idx="148">
                  <c:v>-0.0026928207915410222</c:v>
                </c:pt>
                <c:pt idx="149">
                  <c:v>0.022269563278753523</c:v>
                </c:pt>
                <c:pt idx="150">
                  <c:v>0.007148395851507194</c:v>
                </c:pt>
                <c:pt idx="151">
                  <c:v>0.006207444120972943</c:v>
                </c:pt>
                <c:pt idx="152">
                  <c:v>0.002558523229956226</c:v>
                </c:pt>
                <c:pt idx="153">
                  <c:v>0.01137664567830576</c:v>
                </c:pt>
                <c:pt idx="154">
                  <c:v>-0.003419408088668762</c:v>
                </c:pt>
                <c:pt idx="155">
                  <c:v>0.021604353999053468</c:v>
                </c:pt>
                <c:pt idx="156">
                  <c:v>-0.008709146920529013</c:v>
                </c:pt>
                <c:pt idx="157">
                  <c:v>0.004159170035282783</c:v>
                </c:pt>
                <c:pt idx="158">
                  <c:v>0.029203025014543367</c:v>
                </c:pt>
                <c:pt idx="159">
                  <c:v>0.008817544652950435</c:v>
                </c:pt>
                <c:pt idx="160">
                  <c:v>0.01790676826535188</c:v>
                </c:pt>
                <c:pt idx="161">
                  <c:v>-0.0033686342720006444</c:v>
                </c:pt>
                <c:pt idx="162">
                  <c:v>0.01354217293332743</c:v>
                </c:pt>
                <c:pt idx="163">
                  <c:v>-0.0191154994659867</c:v>
                </c:pt>
                <c:pt idx="164">
                  <c:v>0.008599617794764687</c:v>
                </c:pt>
                <c:pt idx="165">
                  <c:v>0.012007314547577582</c:v>
                </c:pt>
                <c:pt idx="166">
                  <c:v>-0.003983977010493282</c:v>
                </c:pt>
                <c:pt idx="167">
                  <c:v>0.009420559113462006</c:v>
                </c:pt>
                <c:pt idx="168">
                  <c:v>0.03445065176908758</c:v>
                </c:pt>
                <c:pt idx="169">
                  <c:v>0.025265317229397344</c:v>
                </c:pt>
                <c:pt idx="170">
                  <c:v>0.012086565945283822</c:v>
                </c:pt>
                <c:pt idx="171">
                  <c:v>-0.012890341321713957</c:v>
                </c:pt>
                <c:pt idx="172">
                  <c:v>0.014938793860993609</c:v>
                </c:pt>
                <c:pt idx="173">
                  <c:v>-0.028431056701030938</c:v>
                </c:pt>
                <c:pt idx="174">
                  <c:v>-0.01707701235181963</c:v>
                </c:pt>
                <c:pt idx="175">
                  <c:v>0.02131652188580588</c:v>
                </c:pt>
                <c:pt idx="176">
                  <c:v>0.02025227605854787</c:v>
                </c:pt>
                <c:pt idx="177">
                  <c:v>0.01819101578308379</c:v>
                </c:pt>
                <c:pt idx="178">
                  <c:v>-0.016117172439833887</c:v>
                </c:pt>
                <c:pt idx="179">
                  <c:v>-0.0041205461743555865</c:v>
                </c:pt>
                <c:pt idx="180">
                  <c:v>-0.011358104819081661</c:v>
                </c:pt>
                <c:pt idx="181">
                  <c:v>0.002338749384539608</c:v>
                </c:pt>
                <c:pt idx="182">
                  <c:v>-0.01666052642351301</c:v>
                </c:pt>
                <c:pt idx="183">
                  <c:v>-0.003205395054533387</c:v>
                </c:pt>
                <c:pt idx="184">
                  <c:v>0.012445186886615237</c:v>
                </c:pt>
                <c:pt idx="185">
                  <c:v>-0.009033535453532969</c:v>
                </c:pt>
                <c:pt idx="186">
                  <c:v>-0.004557942057942053</c:v>
                </c:pt>
                <c:pt idx="187">
                  <c:v>-0.007087750109766131</c:v>
                </c:pt>
                <c:pt idx="188">
                  <c:v>0.01939355653821865</c:v>
                </c:pt>
                <c:pt idx="189">
                  <c:v>0.015347751544070577</c:v>
                </c:pt>
                <c:pt idx="190">
                  <c:v>0.006713594010660281</c:v>
                </c:pt>
                <c:pt idx="191">
                  <c:v>-0.00980114784576826</c:v>
                </c:pt>
                <c:pt idx="192">
                  <c:v>-0.0004489887548726041</c:v>
                </c:pt>
                <c:pt idx="193">
                  <c:v>0.017579680258080353</c:v>
                </c:pt>
                <c:pt idx="194">
                  <c:v>0.010875235763874986</c:v>
                </c:pt>
              </c:numCache>
            </c:numRef>
          </c:val>
          <c:smooth val="0"/>
        </c:ser>
        <c:marker val="1"/>
        <c:axId val="13673630"/>
        <c:axId val="55953807"/>
      </c:lineChart>
      <c:catAx>
        <c:axId val="1367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13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953807"/>
        <c:crosses val="autoZero"/>
        <c:auto val="1"/>
        <c:lblOffset val="100"/>
        <c:noMultiLvlLbl val="0"/>
      </c:catAx>
      <c:valAx>
        <c:axId val="55953807"/>
        <c:scaling>
          <c:orientation val="minMax"/>
          <c:max val="0.08"/>
          <c:min val="-0.0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Cordia New"/>
                    <a:ea typeface="Cordia New"/>
                    <a:cs typeface="Cordia New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367363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Cordia New"/>
                <a:ea typeface="Cordia New"/>
                <a:cs typeface="Cordia New"/>
              </a:rPr>
              <a:t>RETURN SINCE 21/OCT/2002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7975"/>
          <c:w val="0.748"/>
          <c:h val="0.745"/>
        </c:manualLayout>
      </c:layout>
      <c:lineChart>
        <c:grouping val="standard"/>
        <c:varyColors val="0"/>
        <c:ser>
          <c:idx val="0"/>
          <c:order val="0"/>
          <c:tx>
            <c:v>RETURN OF NAV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'Perf.'!$A$4:$A$200</c:f>
              <c:strCache>
                <c:ptCount val="1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</c:strCache>
            </c:strRef>
          </c:cat>
          <c:val>
            <c:numRef>
              <c:f>'Perf.'!$E$3:$E$200</c:f>
              <c:numCache>
                <c:ptCount val="198"/>
                <c:pt idx="0">
                  <c:v>0</c:v>
                </c:pt>
                <c:pt idx="1">
                  <c:v>0.0165297424820363</c:v>
                </c:pt>
                <c:pt idx="2">
                  <c:v>0.039687023476448306</c:v>
                </c:pt>
                <c:pt idx="3">
                  <c:v>0.05057345902698026</c:v>
                </c:pt>
                <c:pt idx="4">
                  <c:v>0.06238498558561813</c:v>
                </c:pt>
                <c:pt idx="5">
                  <c:v>0.05846157579754637</c:v>
                </c:pt>
                <c:pt idx="6">
                  <c:v>0.06128266328262184</c:v>
                </c:pt>
                <c:pt idx="7">
                  <c:v>0.06445638670333169</c:v>
                </c:pt>
                <c:pt idx="8">
                  <c:v>0.08490927097012892</c:v>
                </c:pt>
                <c:pt idx="9">
                  <c:v>0.07543219783175024</c:v>
                </c:pt>
                <c:pt idx="10">
                  <c:v>0.04228441988211342</c:v>
                </c:pt>
                <c:pt idx="11">
                  <c:v>0.03913905597562787</c:v>
                </c:pt>
                <c:pt idx="12">
                  <c:v>0.05124844093514989</c:v>
                </c:pt>
                <c:pt idx="13">
                  <c:v>0.04825628953591458</c:v>
                </c:pt>
                <c:pt idx="14">
                  <c:v>0.05250633279503997</c:v>
                </c:pt>
                <c:pt idx="15">
                  <c:v>0.033577501121005514</c:v>
                </c:pt>
                <c:pt idx="16">
                  <c:v>0.03233551292002893</c:v>
                </c:pt>
                <c:pt idx="17">
                  <c:v>0.028609548317099012</c:v>
                </c:pt>
                <c:pt idx="18">
                  <c:v>-0.001283027350171664</c:v>
                </c:pt>
                <c:pt idx="19">
                  <c:v>0.002786378040033128</c:v>
                </c:pt>
                <c:pt idx="20">
                  <c:v>-0.013313331815967003</c:v>
                </c:pt>
                <c:pt idx="21">
                  <c:v>-0.004464165884008513</c:v>
                </c:pt>
                <c:pt idx="22">
                  <c:v>0.00022530378090440952</c:v>
                </c:pt>
                <c:pt idx="23">
                  <c:v>0.009047716522226338</c:v>
                </c:pt>
                <c:pt idx="24">
                  <c:v>0.009047716522226338</c:v>
                </c:pt>
                <c:pt idx="25">
                  <c:v>0.006401390089400318</c:v>
                </c:pt>
                <c:pt idx="26">
                  <c:v>0.003420968309823009</c:v>
                </c:pt>
                <c:pt idx="27">
                  <c:v>0.00044054653024570086</c:v>
                </c:pt>
                <c:pt idx="28">
                  <c:v>0.014107622915063421</c:v>
                </c:pt>
                <c:pt idx="29">
                  <c:v>0.014107622915063421</c:v>
                </c:pt>
                <c:pt idx="30">
                  <c:v>0.0013790895368671313</c:v>
                </c:pt>
                <c:pt idx="31">
                  <c:v>-0.0018030438076819413</c:v>
                </c:pt>
                <c:pt idx="32">
                  <c:v>-0.003924466037381323</c:v>
                </c:pt>
                <c:pt idx="33">
                  <c:v>-0.007106599381930395</c:v>
                </c:pt>
                <c:pt idx="34">
                  <c:v>0.0017949236509253136</c:v>
                </c:pt>
                <c:pt idx="35">
                  <c:v>0.009219901454873149</c:v>
                </c:pt>
                <c:pt idx="36">
                  <c:v>0.00356277550900819</c:v>
                </c:pt>
                <c:pt idx="37">
                  <c:v>-0.0022711356226651973</c:v>
                </c:pt>
                <c:pt idx="38">
                  <c:v>0.0009789822329384465</c:v>
                </c:pt>
                <c:pt idx="39">
                  <c:v>0.002586562055848964</c:v>
                </c:pt>
                <c:pt idx="40">
                  <c:v>0.003083575927230317</c:v>
                </c:pt>
                <c:pt idx="41">
                  <c:v>0.0007200287070478159</c:v>
                </c:pt>
                <c:pt idx="42">
                  <c:v>0.0007148534770814936</c:v>
                </c:pt>
                <c:pt idx="43">
                  <c:v>0.0021130426600199453</c:v>
                </c:pt>
                <c:pt idx="44">
                  <c:v>0.029257247079191327</c:v>
                </c:pt>
                <c:pt idx="45">
                  <c:v>0.056794230384757505</c:v>
                </c:pt>
                <c:pt idx="46">
                  <c:v>0.05716719536258301</c:v>
                </c:pt>
                <c:pt idx="47">
                  <c:v>0.05554582155255742</c:v>
                </c:pt>
                <c:pt idx="48">
                  <c:v>0.05716117105811542</c:v>
                </c:pt>
                <c:pt idx="49">
                  <c:v>0.060764223969283146</c:v>
                </c:pt>
                <c:pt idx="50">
                  <c:v>0.05219447071165815</c:v>
                </c:pt>
                <c:pt idx="51">
                  <c:v>0.011329422852622072</c:v>
                </c:pt>
                <c:pt idx="52">
                  <c:v>0.0016011799924690638</c:v>
                </c:pt>
                <c:pt idx="53">
                  <c:v>0.02084627940723692</c:v>
                </c:pt>
                <c:pt idx="54">
                  <c:v>0.06052429110273799</c:v>
                </c:pt>
                <c:pt idx="55">
                  <c:v>0.0854313437545282</c:v>
                </c:pt>
                <c:pt idx="56">
                  <c:v>0.0854313437545282</c:v>
                </c:pt>
                <c:pt idx="57">
                  <c:v>0.0854313437545282</c:v>
                </c:pt>
                <c:pt idx="58">
                  <c:v>0.0854313437545282</c:v>
                </c:pt>
                <c:pt idx="59">
                  <c:v>0.0854313437545282</c:v>
                </c:pt>
                <c:pt idx="60">
                  <c:v>0.0854313437545282</c:v>
                </c:pt>
                <c:pt idx="61">
                  <c:v>0.0854313437545282</c:v>
                </c:pt>
                <c:pt idx="62">
                  <c:v>0.0854313437545282</c:v>
                </c:pt>
                <c:pt idx="63">
                  <c:v>0.08718405982012986</c:v>
                </c:pt>
                <c:pt idx="64">
                  <c:v>0.10977454841970287</c:v>
                </c:pt>
                <c:pt idx="65">
                  <c:v>0.09964672887281326</c:v>
                </c:pt>
                <c:pt idx="66">
                  <c:v>0.10096975637225782</c:v>
                </c:pt>
                <c:pt idx="67">
                  <c:v>0.10096975637225782</c:v>
                </c:pt>
                <c:pt idx="68">
                  <c:v>0.10287619099493399</c:v>
                </c:pt>
                <c:pt idx="69">
                  <c:v>0.10287619099493645</c:v>
                </c:pt>
                <c:pt idx="70">
                  <c:v>0.10287619099493645</c:v>
                </c:pt>
                <c:pt idx="71">
                  <c:v>0.10096975637225782</c:v>
                </c:pt>
                <c:pt idx="72">
                  <c:v>0.10859549486296231</c:v>
                </c:pt>
                <c:pt idx="73">
                  <c:v>0.10478262561761015</c:v>
                </c:pt>
                <c:pt idx="74">
                  <c:v>0.10259826027960656</c:v>
                </c:pt>
                <c:pt idx="75">
                  <c:v>0.11428483345645178</c:v>
                </c:pt>
                <c:pt idx="76">
                  <c:v>0.11682969163064659</c:v>
                </c:pt>
                <c:pt idx="77">
                  <c:v>0.07954408313315035</c:v>
                </c:pt>
                <c:pt idx="78">
                  <c:v>0.08033270041198155</c:v>
                </c:pt>
                <c:pt idx="79">
                  <c:v>0.09342548816969486</c:v>
                </c:pt>
                <c:pt idx="80">
                  <c:v>0.08180824123113002</c:v>
                </c:pt>
                <c:pt idx="81">
                  <c:v>0.06313468917044009</c:v>
                </c:pt>
                <c:pt idx="82">
                  <c:v>0.053334385252063736</c:v>
                </c:pt>
                <c:pt idx="83">
                  <c:v>0.04976458084573701</c:v>
                </c:pt>
                <c:pt idx="84">
                  <c:v>0.007096801670223362</c:v>
                </c:pt>
                <c:pt idx="85">
                  <c:v>-0.0028407396121448592</c:v>
                </c:pt>
                <c:pt idx="86">
                  <c:v>0.0019210691379469716</c:v>
                </c:pt>
                <c:pt idx="87">
                  <c:v>0.012010361679569672</c:v>
                </c:pt>
                <c:pt idx="88">
                  <c:v>0.040070737283227326</c:v>
                </c:pt>
                <c:pt idx="89">
                  <c:v>0.04482611784478602</c:v>
                </c:pt>
                <c:pt idx="90">
                  <c:v>0.04133127013863823</c:v>
                </c:pt>
                <c:pt idx="91">
                  <c:v>0.03669742994832544</c:v>
                </c:pt>
                <c:pt idx="92">
                  <c:v>0.029906675371618115</c:v>
                </c:pt>
                <c:pt idx="93">
                  <c:v>0.02089519821836518</c:v>
                </c:pt>
                <c:pt idx="94">
                  <c:v>0.015611401772421289</c:v>
                </c:pt>
                <c:pt idx="95">
                  <c:v>0.015611401772421289</c:v>
                </c:pt>
                <c:pt idx="96">
                  <c:v>0.015603902962506262</c:v>
                </c:pt>
                <c:pt idx="97">
                  <c:v>0.015603902962506262</c:v>
                </c:pt>
                <c:pt idx="98">
                  <c:v>0.015603902962505033</c:v>
                </c:pt>
                <c:pt idx="99">
                  <c:v>0.015603902962505033</c:v>
                </c:pt>
                <c:pt idx="100">
                  <c:v>0.015603902962505033</c:v>
                </c:pt>
                <c:pt idx="101">
                  <c:v>6.776531110640122E-05</c:v>
                </c:pt>
                <c:pt idx="102">
                  <c:v>-0.019386962921803492</c:v>
                </c:pt>
                <c:pt idx="103">
                  <c:v>-0.0778977404141039</c:v>
                </c:pt>
                <c:pt idx="104">
                  <c:v>-0.0708316012725319</c:v>
                </c:pt>
                <c:pt idx="105">
                  <c:v>-0.06053157042244352</c:v>
                </c:pt>
                <c:pt idx="106">
                  <c:v>-0.06053157042244352</c:v>
                </c:pt>
                <c:pt idx="107">
                  <c:v>-0.06053157042244352</c:v>
                </c:pt>
                <c:pt idx="108">
                  <c:v>-0.13281664302150237</c:v>
                </c:pt>
                <c:pt idx="109">
                  <c:v>-0.1182557097343209</c:v>
                </c:pt>
                <c:pt idx="110">
                  <c:v>-0.08942489381493272</c:v>
                </c:pt>
                <c:pt idx="111">
                  <c:v>-0.08307782033077668</c:v>
                </c:pt>
                <c:pt idx="112">
                  <c:v>-0.06899341785364026</c:v>
                </c:pt>
                <c:pt idx="113">
                  <c:v>-0.0759266622419213</c:v>
                </c:pt>
                <c:pt idx="114">
                  <c:v>-0.07910242512625097</c:v>
                </c:pt>
                <c:pt idx="115">
                  <c:v>-0.07910242512625097</c:v>
                </c:pt>
                <c:pt idx="116">
                  <c:v>-0.07910242512625097</c:v>
                </c:pt>
                <c:pt idx="117">
                  <c:v>-0.07157884275495023</c:v>
                </c:pt>
                <c:pt idx="118">
                  <c:v>-0.0812520200894798</c:v>
                </c:pt>
                <c:pt idx="119">
                  <c:v>-0.08662600749755171</c:v>
                </c:pt>
                <c:pt idx="120">
                  <c:v>-0.0908087610301676</c:v>
                </c:pt>
                <c:pt idx="121">
                  <c:v>-0.09439141930221571</c:v>
                </c:pt>
                <c:pt idx="122">
                  <c:v>-0.09148344723595972</c:v>
                </c:pt>
                <c:pt idx="123">
                  <c:v>-0.09603947027366233</c:v>
                </c:pt>
                <c:pt idx="124">
                  <c:v>-0.10713945475739635</c:v>
                </c:pt>
                <c:pt idx="125">
                  <c:v>-0.11197534799747637</c:v>
                </c:pt>
                <c:pt idx="126">
                  <c:v>-0.09682312177822422</c:v>
                </c:pt>
                <c:pt idx="127">
                  <c:v>-0.08592719200924952</c:v>
                </c:pt>
                <c:pt idx="128">
                  <c:v>-0.08298969951546378</c:v>
                </c:pt>
                <c:pt idx="129">
                  <c:v>-0.07579772356886638</c:v>
                </c:pt>
                <c:pt idx="130">
                  <c:v>-0.07283760190671319</c:v>
                </c:pt>
                <c:pt idx="131">
                  <c:v>-0.07607110138672146</c:v>
                </c:pt>
                <c:pt idx="132">
                  <c:v>-0.0734128470534481</c:v>
                </c:pt>
                <c:pt idx="133">
                  <c:v>-0.07926039126050233</c:v>
                </c:pt>
                <c:pt idx="134">
                  <c:v>-0.08131576708020488</c:v>
                </c:pt>
                <c:pt idx="135">
                  <c:v>-0.07853158925109933</c:v>
                </c:pt>
                <c:pt idx="136">
                  <c:v>-0.10312758656020796</c:v>
                </c:pt>
                <c:pt idx="137">
                  <c:v>-0.1214204313555616</c:v>
                </c:pt>
                <c:pt idx="138">
                  <c:v>-0.11525430389645358</c:v>
                </c:pt>
                <c:pt idx="139">
                  <c:v>-0.11319892807675103</c:v>
                </c:pt>
                <c:pt idx="140">
                  <c:v>-0.10819751358214114</c:v>
                </c:pt>
                <c:pt idx="141">
                  <c:v>-0.10755711739749528</c:v>
                </c:pt>
                <c:pt idx="142">
                  <c:v>-0.11790250902333206</c:v>
                </c:pt>
                <c:pt idx="143">
                  <c:v>-0.12036896000697508</c:v>
                </c:pt>
                <c:pt idx="144">
                  <c:v>-0.11824507165994906</c:v>
                </c:pt>
                <c:pt idx="145">
                  <c:v>-0.11865614682388954</c:v>
                </c:pt>
                <c:pt idx="146">
                  <c:v>-0.1108488743960281</c:v>
                </c:pt>
                <c:pt idx="147">
                  <c:v>-0.10495679704621379</c:v>
                </c:pt>
                <c:pt idx="148">
                  <c:v>-0.10840105881981683</c:v>
                </c:pt>
                <c:pt idx="149">
                  <c:v>-0.10780842545846916</c:v>
                </c:pt>
                <c:pt idx="150">
                  <c:v>-0.10611959165994682</c:v>
                </c:pt>
                <c:pt idx="151">
                  <c:v>-0.10146073980195429</c:v>
                </c:pt>
                <c:pt idx="152">
                  <c:v>-0.10241991518448201</c:v>
                </c:pt>
                <c:pt idx="153">
                  <c:v>-0.09544172244151497</c:v>
                </c:pt>
                <c:pt idx="154">
                  <c:v>-0.10046711632068808</c:v>
                </c:pt>
                <c:pt idx="155">
                  <c:v>-0.10594811850656174</c:v>
                </c:pt>
                <c:pt idx="156">
                  <c:v>-0.10348166752291853</c:v>
                </c:pt>
                <c:pt idx="157">
                  <c:v>-0.0879978363478251</c:v>
                </c:pt>
                <c:pt idx="158">
                  <c:v>-0.07991335812366128</c:v>
                </c:pt>
                <c:pt idx="159">
                  <c:v>-0.09087259184880389</c:v>
                </c:pt>
                <c:pt idx="160">
                  <c:v>-0.06746528688875679</c:v>
                </c:pt>
                <c:pt idx="161">
                  <c:v>-0.06636908645158196</c:v>
                </c:pt>
                <c:pt idx="162">
                  <c:v>-0.06821892468931445</c:v>
                </c:pt>
                <c:pt idx="163">
                  <c:v>-0.068102458229667</c:v>
                </c:pt>
                <c:pt idx="164">
                  <c:v>-0.047152817302646456</c:v>
                </c:pt>
                <c:pt idx="165">
                  <c:v>-0.04185866933417008</c:v>
                </c:pt>
                <c:pt idx="166">
                  <c:v>-0.042954289726813984</c:v>
                </c:pt>
                <c:pt idx="167">
                  <c:v>-0.04224840333101718</c:v>
                </c:pt>
                <c:pt idx="168">
                  <c:v>-0.02262158503908322</c:v>
                </c:pt>
                <c:pt idx="169">
                  <c:v>-0.027120135509721133</c:v>
                </c:pt>
                <c:pt idx="170">
                  <c:v>-0.025496596799388205</c:v>
                </c:pt>
                <c:pt idx="171">
                  <c:v>-0.031180780884089602</c:v>
                </c:pt>
                <c:pt idx="172">
                  <c:v>-0.015958340758729987</c:v>
                </c:pt>
                <c:pt idx="173">
                  <c:v>-0.015360350510303704</c:v>
                </c:pt>
                <c:pt idx="174">
                  <c:v>-0.019879087899934814</c:v>
                </c:pt>
                <c:pt idx="175">
                  <c:v>-0.013608398609761454</c:v>
                </c:pt>
                <c:pt idx="176">
                  <c:v>0.006628610738096451</c:v>
                </c:pt>
                <c:pt idx="177">
                  <c:v>0.027811655148347283</c:v>
                </c:pt>
                <c:pt idx="178">
                  <c:v>0.036871025758575794</c:v>
                </c:pt>
                <c:pt idx="179">
                  <c:v>0.033148147178245144</c:v>
                </c:pt>
                <c:pt idx="180">
                  <c:v>0.029966804300032405</c:v>
                </c:pt>
                <c:pt idx="181">
                  <c:v>0.034187530950102483</c:v>
                </c:pt>
                <c:pt idx="182">
                  <c:v>0.019715872405617667</c:v>
                </c:pt>
                <c:pt idx="183">
                  <c:v>-0.0002976712469723681</c:v>
                </c:pt>
                <c:pt idx="184">
                  <c:v>0.009633665614814439</c:v>
                </c:pt>
                <c:pt idx="185">
                  <c:v>0.009417028792999164</c:v>
                </c:pt>
                <c:pt idx="186">
                  <c:v>0.008272995734093602</c:v>
                </c:pt>
                <c:pt idx="187">
                  <c:v>-0.014836472055796537</c:v>
                </c:pt>
                <c:pt idx="188">
                  <c:v>-0.002709721631398774</c:v>
                </c:pt>
                <c:pt idx="189">
                  <c:v>0.0063662739692512335</c:v>
                </c:pt>
                <c:pt idx="190">
                  <c:v>0.032885880077258976</c:v>
                </c:pt>
                <c:pt idx="191">
                  <c:v>0.018699870146831447</c:v>
                </c:pt>
                <c:pt idx="192">
                  <c:v>0.049826035193695724</c:v>
                </c:pt>
                <c:pt idx="193">
                  <c:v>0.05145214471640626</c:v>
                </c:pt>
                <c:pt idx="194">
                  <c:v>0.07160426043984545</c:v>
                </c:pt>
              </c:numCache>
            </c:numRef>
          </c:val>
          <c:smooth val="0"/>
        </c:ser>
        <c:ser>
          <c:idx val="1"/>
          <c:order val="1"/>
          <c:tx>
            <c:v>RETURN OF SET INDEX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'Perf.'!$A$4:$A$200</c:f>
              <c:strCache>
                <c:ptCount val="1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</c:strCache>
            </c:strRef>
          </c:cat>
          <c:val>
            <c:numRef>
              <c:f>'Perf.'!$I$3:$I$200</c:f>
              <c:numCache>
                <c:ptCount val="198"/>
                <c:pt idx="0">
                  <c:v>0</c:v>
                </c:pt>
                <c:pt idx="1">
                  <c:v>0.005605902172650189</c:v>
                </c:pt>
                <c:pt idx="2">
                  <c:v>0.006709654932032074</c:v>
                </c:pt>
                <c:pt idx="3">
                  <c:v>0.012141280353200903</c:v>
                </c:pt>
                <c:pt idx="4">
                  <c:v>0.038166608574416304</c:v>
                </c:pt>
                <c:pt idx="5">
                  <c:v>0.028087603113744676</c:v>
                </c:pt>
                <c:pt idx="6">
                  <c:v>0.031137446264668377</c:v>
                </c:pt>
                <c:pt idx="7">
                  <c:v>0.03758568606947849</c:v>
                </c:pt>
                <c:pt idx="8">
                  <c:v>0.038921807830835466</c:v>
                </c:pt>
                <c:pt idx="9">
                  <c:v>0.0421749738584874</c:v>
                </c:pt>
                <c:pt idx="10">
                  <c:v>0.03337399790867901</c:v>
                </c:pt>
                <c:pt idx="11">
                  <c:v>0.02765191123504136</c:v>
                </c:pt>
                <c:pt idx="12">
                  <c:v>0.03828279307540376</c:v>
                </c:pt>
                <c:pt idx="13">
                  <c:v>0.031137446264668377</c:v>
                </c:pt>
                <c:pt idx="14">
                  <c:v>0.017660044150110497</c:v>
                </c:pt>
                <c:pt idx="15">
                  <c:v>0.002294643894504533</c:v>
                </c:pt>
                <c:pt idx="16">
                  <c:v>-0.0017718136400602907</c:v>
                </c:pt>
                <c:pt idx="17">
                  <c:v>0.013564540490298642</c:v>
                </c:pt>
                <c:pt idx="18">
                  <c:v>0.034739165795283015</c:v>
                </c:pt>
                <c:pt idx="19">
                  <c:v>0.03723713256651578</c:v>
                </c:pt>
                <c:pt idx="20">
                  <c:v>0.027129080980597284</c:v>
                </c:pt>
                <c:pt idx="21">
                  <c:v>0.022946438945044834</c:v>
                </c:pt>
                <c:pt idx="22">
                  <c:v>0.04112931334959924</c:v>
                </c:pt>
                <c:pt idx="23">
                  <c:v>0.053183455327059384</c:v>
                </c:pt>
                <c:pt idx="24">
                  <c:v>0.05881840362495643</c:v>
                </c:pt>
                <c:pt idx="25">
                  <c:v>0.04917509004298829</c:v>
                </c:pt>
                <c:pt idx="26">
                  <c:v>0.049581735796444905</c:v>
                </c:pt>
                <c:pt idx="27">
                  <c:v>0.05812129661903116</c:v>
                </c:pt>
                <c:pt idx="28">
                  <c:v>0.059893110259091456</c:v>
                </c:pt>
                <c:pt idx="29">
                  <c:v>0.06503427442779146</c:v>
                </c:pt>
                <c:pt idx="30">
                  <c:v>0.05783083536656218</c:v>
                </c:pt>
                <c:pt idx="31">
                  <c:v>0.06000929476007908</c:v>
                </c:pt>
                <c:pt idx="32">
                  <c:v>0.0604449866387824</c:v>
                </c:pt>
                <c:pt idx="33">
                  <c:v>0.06120018589520173</c:v>
                </c:pt>
                <c:pt idx="34">
                  <c:v>0.06151969327291742</c:v>
                </c:pt>
                <c:pt idx="35">
                  <c:v>0.049901243174160594</c:v>
                </c:pt>
                <c:pt idx="36">
                  <c:v>0.03462298129429539</c:v>
                </c:pt>
                <c:pt idx="37">
                  <c:v>0.028029510863250943</c:v>
                </c:pt>
                <c:pt idx="38">
                  <c:v>0.024834437086092752</c:v>
                </c:pt>
                <c:pt idx="39">
                  <c:v>0.018415243406529662</c:v>
                </c:pt>
                <c:pt idx="40">
                  <c:v>0.017340536772394645</c:v>
                </c:pt>
                <c:pt idx="41">
                  <c:v>0.01664342976646921</c:v>
                </c:pt>
                <c:pt idx="42">
                  <c:v>0.01821192052980144</c:v>
                </c:pt>
                <c:pt idx="43">
                  <c:v>0.019315673289183325</c:v>
                </c:pt>
                <c:pt idx="44">
                  <c:v>0.02651911235041261</c:v>
                </c:pt>
                <c:pt idx="45">
                  <c:v>0.03218310677355653</c:v>
                </c:pt>
                <c:pt idx="46">
                  <c:v>0.03543627280120845</c:v>
                </c:pt>
                <c:pt idx="47">
                  <c:v>0.021029394678749883</c:v>
                </c:pt>
                <c:pt idx="48">
                  <c:v>0.03761473219472536</c:v>
                </c:pt>
                <c:pt idx="49">
                  <c:v>0.05771465086557455</c:v>
                </c:pt>
                <c:pt idx="50">
                  <c:v>0.06166492389915191</c:v>
                </c:pt>
                <c:pt idx="51">
                  <c:v>0.04685140002323705</c:v>
                </c:pt>
                <c:pt idx="52">
                  <c:v>0.042058789357499765</c:v>
                </c:pt>
                <c:pt idx="53">
                  <c:v>0.04673521552224943</c:v>
                </c:pt>
                <c:pt idx="54">
                  <c:v>0.057424189613105726</c:v>
                </c:pt>
                <c:pt idx="55">
                  <c:v>0.08437899384222149</c:v>
                </c:pt>
                <c:pt idx="56">
                  <c:v>0.07999302892994081</c:v>
                </c:pt>
                <c:pt idx="57">
                  <c:v>0.07610084814685734</c:v>
                </c:pt>
                <c:pt idx="58">
                  <c:v>0.0664575345648892</c:v>
                </c:pt>
                <c:pt idx="59">
                  <c:v>0.0789183222958058</c:v>
                </c:pt>
                <c:pt idx="60">
                  <c:v>0.09187289415591976</c:v>
                </c:pt>
                <c:pt idx="61">
                  <c:v>0.0839142558382713</c:v>
                </c:pt>
                <c:pt idx="62">
                  <c:v>0.09376089229696767</c:v>
                </c:pt>
                <c:pt idx="63">
                  <c:v>0.09300569304054851</c:v>
                </c:pt>
                <c:pt idx="64">
                  <c:v>0.07703032415475787</c:v>
                </c:pt>
                <c:pt idx="65">
                  <c:v>0.08853258975252708</c:v>
                </c:pt>
                <c:pt idx="66">
                  <c:v>0.07380620425235282</c:v>
                </c:pt>
                <c:pt idx="67">
                  <c:v>0.07557801789241327</c:v>
                </c:pt>
                <c:pt idx="68">
                  <c:v>0.07473568026025335</c:v>
                </c:pt>
                <c:pt idx="69">
                  <c:v>0.0816777041942605</c:v>
                </c:pt>
                <c:pt idx="70">
                  <c:v>0.08449517834320912</c:v>
                </c:pt>
                <c:pt idx="71">
                  <c:v>0.084233763215987</c:v>
                </c:pt>
                <c:pt idx="72">
                  <c:v>0.10113860810967833</c:v>
                </c:pt>
                <c:pt idx="73">
                  <c:v>0.10070291623097484</c:v>
                </c:pt>
                <c:pt idx="74">
                  <c:v>0.09062391077030338</c:v>
                </c:pt>
                <c:pt idx="75">
                  <c:v>0.10125479261066578</c:v>
                </c:pt>
                <c:pt idx="76">
                  <c:v>0.10450795863831772</c:v>
                </c:pt>
                <c:pt idx="77">
                  <c:v>0.07543278726617877</c:v>
                </c:pt>
                <c:pt idx="78">
                  <c:v>0.07095968397815734</c:v>
                </c:pt>
                <c:pt idx="79">
                  <c:v>0.07601370977111659</c:v>
                </c:pt>
                <c:pt idx="80">
                  <c:v>0.07813407691413976</c:v>
                </c:pt>
                <c:pt idx="81">
                  <c:v>0.05849889624724075</c:v>
                </c:pt>
                <c:pt idx="82">
                  <c:v>0.044295341001510405</c:v>
                </c:pt>
                <c:pt idx="83">
                  <c:v>0.05173114906471478</c:v>
                </c:pt>
                <c:pt idx="84">
                  <c:v>0.03624956430812135</c:v>
                </c:pt>
                <c:pt idx="85">
                  <c:v>0.03410015103985131</c:v>
                </c:pt>
                <c:pt idx="86">
                  <c:v>0.042436388985709346</c:v>
                </c:pt>
                <c:pt idx="87">
                  <c:v>0.04949459742070414</c:v>
                </c:pt>
                <c:pt idx="88">
                  <c:v>0.06793888695248067</c:v>
                </c:pt>
                <c:pt idx="89">
                  <c:v>0.05887649587545033</c:v>
                </c:pt>
                <c:pt idx="90">
                  <c:v>0.04537004763564542</c:v>
                </c:pt>
                <c:pt idx="91">
                  <c:v>0.042639711862437576</c:v>
                </c:pt>
                <c:pt idx="92">
                  <c:v>0.041245497850586864</c:v>
                </c:pt>
                <c:pt idx="93">
                  <c:v>0.02617055884744989</c:v>
                </c:pt>
                <c:pt idx="94">
                  <c:v>0.019460903915417816</c:v>
                </c:pt>
                <c:pt idx="95">
                  <c:v>0.023701638201464</c:v>
                </c:pt>
                <c:pt idx="96">
                  <c:v>0.026722435227140833</c:v>
                </c:pt>
                <c:pt idx="97">
                  <c:v>0.04054839084466143</c:v>
                </c:pt>
                <c:pt idx="98">
                  <c:v>0.030004647380039624</c:v>
                </c:pt>
                <c:pt idx="99">
                  <c:v>0.05393865458347871</c:v>
                </c:pt>
                <c:pt idx="100">
                  <c:v>0.0489427210410132</c:v>
                </c:pt>
                <c:pt idx="101">
                  <c:v>0.057569420239340224</c:v>
                </c:pt>
                <c:pt idx="102">
                  <c:v>0.05617520622748935</c:v>
                </c:pt>
                <c:pt idx="103">
                  <c:v>0.049378412919716515</c:v>
                </c:pt>
                <c:pt idx="104">
                  <c:v>0.05652375973045207</c:v>
                </c:pt>
                <c:pt idx="105">
                  <c:v>0.06930405483908451</c:v>
                </c:pt>
                <c:pt idx="106">
                  <c:v>0.07162774485883591</c:v>
                </c:pt>
                <c:pt idx="107">
                  <c:v>0.07334146624840247</c:v>
                </c:pt>
                <c:pt idx="108">
                  <c:v>0.05887649587545033</c:v>
                </c:pt>
                <c:pt idx="109">
                  <c:v>0.05210874869292453</c:v>
                </c:pt>
                <c:pt idx="110">
                  <c:v>0.05443243871267576</c:v>
                </c:pt>
                <c:pt idx="111">
                  <c:v>0.06053212501452316</c:v>
                </c:pt>
                <c:pt idx="112">
                  <c:v>0.08031253630765667</c:v>
                </c:pt>
                <c:pt idx="113">
                  <c:v>0.09161147902869764</c:v>
                </c:pt>
                <c:pt idx="114">
                  <c:v>0.09271523178807953</c:v>
                </c:pt>
                <c:pt idx="115">
                  <c:v>0.08928778900894624</c:v>
                </c:pt>
                <c:pt idx="116">
                  <c:v>0.11351225746485431</c:v>
                </c:pt>
                <c:pt idx="117">
                  <c:v>0.122748925293366</c:v>
                </c:pt>
                <c:pt idx="118">
                  <c:v>0.11720111537120956</c:v>
                </c:pt>
                <c:pt idx="119">
                  <c:v>0.11682351574299997</c:v>
                </c:pt>
                <c:pt idx="120">
                  <c:v>0.11972812826768918</c:v>
                </c:pt>
                <c:pt idx="121">
                  <c:v>0.10076100848146874</c:v>
                </c:pt>
                <c:pt idx="122">
                  <c:v>0.09036249564308126</c:v>
                </c:pt>
                <c:pt idx="123">
                  <c:v>0.07386429650284655</c:v>
                </c:pt>
                <c:pt idx="124">
                  <c:v>0.07043685372371326</c:v>
                </c:pt>
                <c:pt idx="125">
                  <c:v>0.07136632973161396</c:v>
                </c:pt>
                <c:pt idx="126">
                  <c:v>0.0833333333333335</c:v>
                </c:pt>
                <c:pt idx="127">
                  <c:v>0.08815499012431749</c:v>
                </c:pt>
                <c:pt idx="128">
                  <c:v>0.08992680376437795</c:v>
                </c:pt>
                <c:pt idx="129">
                  <c:v>0.10389799000813303</c:v>
                </c:pt>
                <c:pt idx="130">
                  <c:v>0.10215522249331944</c:v>
                </c:pt>
                <c:pt idx="131">
                  <c:v>0.09852445683745793</c:v>
                </c:pt>
                <c:pt idx="132">
                  <c:v>0.11630068548855589</c:v>
                </c:pt>
                <c:pt idx="133">
                  <c:v>0.1138898570930639</c:v>
                </c:pt>
                <c:pt idx="134">
                  <c:v>0.12347507842453831</c:v>
                </c:pt>
                <c:pt idx="135">
                  <c:v>0.11891483676077629</c:v>
                </c:pt>
                <c:pt idx="136">
                  <c:v>0.11246659695596616</c:v>
                </c:pt>
                <c:pt idx="137">
                  <c:v>0.10093528523294994</c:v>
                </c:pt>
                <c:pt idx="138">
                  <c:v>0.11237945858022556</c:v>
                </c:pt>
                <c:pt idx="139">
                  <c:v>0.125159753688858</c:v>
                </c:pt>
                <c:pt idx="140">
                  <c:v>0.12879051934471952</c:v>
                </c:pt>
                <c:pt idx="141">
                  <c:v>0.14883234576507498</c:v>
                </c:pt>
                <c:pt idx="142">
                  <c:v>0.15278261879865235</c:v>
                </c:pt>
                <c:pt idx="143">
                  <c:v>0.16384919251771823</c:v>
                </c:pt>
                <c:pt idx="144">
                  <c:v>0.17050075519925656</c:v>
                </c:pt>
                <c:pt idx="145">
                  <c:v>0.1717206924596259</c:v>
                </c:pt>
                <c:pt idx="146">
                  <c:v>0.17294062971999544</c:v>
                </c:pt>
                <c:pt idx="147">
                  <c:v>0.17572905774369701</c:v>
                </c:pt>
                <c:pt idx="148">
                  <c:v>0.17256303009178584</c:v>
                </c:pt>
                <c:pt idx="149">
                  <c:v>0.19867549668874185</c:v>
                </c:pt>
                <c:pt idx="150">
                  <c:v>0.20724410363657497</c:v>
                </c:pt>
                <c:pt idx="151">
                  <c:v>0.21473800395027307</c:v>
                </c:pt>
                <c:pt idx="152">
                  <c:v>0.2178459393516905</c:v>
                </c:pt>
                <c:pt idx="153">
                  <c:v>0.23170094109445813</c:v>
                </c:pt>
                <c:pt idx="154">
                  <c:v>0.22748925293365882</c:v>
                </c:pt>
                <c:pt idx="155">
                  <c:v>0.2540083652840713</c:v>
                </c:pt>
                <c:pt idx="156">
                  <c:v>0.24308702219123987</c:v>
                </c:pt>
                <c:pt idx="157">
                  <c:v>0.24825723248518658</c:v>
                </c:pt>
                <c:pt idx="158">
                  <c:v>0.2847101196700362</c:v>
                </c:pt>
                <c:pt idx="159">
                  <c:v>0.296038108516324</c:v>
                </c:pt>
                <c:pt idx="160">
                  <c:v>0.3192459625885908</c:v>
                </c:pt>
                <c:pt idx="161">
                  <c:v>0.3148019054258164</c:v>
                </c:pt>
                <c:pt idx="162">
                  <c:v>0.3326071802021612</c:v>
                </c:pt>
                <c:pt idx="163">
                  <c:v>0.30713372836063674</c:v>
                </c:pt>
                <c:pt idx="164">
                  <c:v>0.318374578831184</c:v>
                </c:pt>
                <c:pt idx="165">
                  <c:v>0.3342047170907401</c:v>
                </c:pt>
                <c:pt idx="166">
                  <c:v>0.3288892761705589</c:v>
                </c:pt>
                <c:pt idx="167">
                  <c:v>0.3414081561519694</c:v>
                </c:pt>
                <c:pt idx="168">
                  <c:v>0.38762054141977476</c:v>
                </c:pt>
                <c:pt idx="169">
                  <c:v>0.42267921459277347</c:v>
                </c:pt>
                <c:pt idx="170">
                  <c:v>0.4398745207389336</c:v>
                </c:pt>
                <c:pt idx="171">
                  <c:v>0.42131404670616945</c:v>
                </c:pt>
                <c:pt idx="172">
                  <c:v>0.4425467642616476</c:v>
                </c:pt>
                <c:pt idx="173">
                  <c:v>0.40153363541303594</c:v>
                </c:pt>
                <c:pt idx="174">
                  <c:v>0.37759962820959686</c:v>
                </c:pt>
                <c:pt idx="175">
                  <c:v>0.4069652608342048</c:v>
                </c:pt>
                <c:pt idx="176">
                  <c:v>0.4354595097014059</c:v>
                </c:pt>
                <c:pt idx="177">
                  <c:v>0.4615719762983619</c:v>
                </c:pt>
                <c:pt idx="178">
                  <c:v>0.4380155687231324</c:v>
                </c:pt>
                <c:pt idx="179">
                  <c:v>0.43209015917276655</c:v>
                </c:pt>
                <c:pt idx="180">
                  <c:v>0.4158243290345069</c:v>
                </c:pt>
                <c:pt idx="181">
                  <c:v>0.41913558731265255</c:v>
                </c:pt>
                <c:pt idx="182">
                  <c:v>0.3954920413616825</c:v>
                </c:pt>
                <c:pt idx="183">
                  <c:v>0.391018938073661</c:v>
                </c:pt>
                <c:pt idx="184">
                  <c:v>0.40833042872080877</c:v>
                </c:pt>
                <c:pt idx="185">
                  <c:v>0.3956082258626701</c:v>
                </c:pt>
                <c:pt idx="186">
                  <c:v>0.3892471244336007</c:v>
                </c:pt>
                <c:pt idx="187">
                  <c:v>0.37940048797490417</c:v>
                </c:pt>
                <c:pt idx="188">
                  <c:v>0.4061519693272919</c:v>
                </c:pt>
                <c:pt idx="189">
                  <c:v>0.42773324038573274</c:v>
                </c:pt>
                <c:pt idx="190">
                  <c:v>0.43731846171720695</c:v>
                </c:pt>
                <c:pt idx="191">
                  <c:v>0.4232310909724644</c:v>
                </c:pt>
                <c:pt idx="192">
                  <c:v>0.4225920762170327</c:v>
                </c:pt>
                <c:pt idx="193">
                  <c:v>0.4476007900546068</c:v>
                </c:pt>
                <c:pt idx="194">
                  <c:v>0.46334378993842235</c:v>
                </c:pt>
              </c:numCache>
            </c:numRef>
          </c:val>
          <c:smooth val="0"/>
        </c:ser>
        <c:marker val="1"/>
        <c:axId val="33822216"/>
        <c:axId val="35964489"/>
      </c:lineChart>
      <c:catAx>
        <c:axId val="3382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964489"/>
        <c:crosses val="autoZero"/>
        <c:auto val="1"/>
        <c:lblOffset val="100"/>
        <c:noMultiLvlLbl val="0"/>
      </c:catAx>
      <c:valAx>
        <c:axId val="35964489"/>
        <c:scaling>
          <c:orientation val="minMax"/>
          <c:max val="0.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ordia New"/>
                    <a:ea typeface="Cordia New"/>
                    <a:cs typeface="Cordia New"/>
                  </a:rPr>
                  <a:t>RETURN SINCE INCEPTION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382221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02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"/>
  <sheetViews>
    <sheetView workbookViewId="0" topLeftCell="A347">
      <selection activeCell="H375" sqref="H375"/>
    </sheetView>
  </sheetViews>
  <sheetFormatPr defaultColWidth="9.140625" defaultRowHeight="21.75"/>
  <cols>
    <col min="1" max="1" width="8.421875" style="62" customWidth="1"/>
    <col min="2" max="2" width="9.28125" style="62" customWidth="1"/>
    <col min="3" max="3" width="10.7109375" style="62" customWidth="1"/>
    <col min="4" max="4" width="6.140625" style="63" customWidth="1"/>
    <col min="5" max="6" width="10.57421875" style="64" customWidth="1"/>
    <col min="7" max="7" width="10.8515625" style="64" customWidth="1"/>
    <col min="8" max="8" width="9.8515625" style="64" customWidth="1"/>
    <col min="9" max="9" width="14.7109375" style="99" customWidth="1"/>
    <col min="10" max="16384" width="14.7109375" style="61" customWidth="1"/>
  </cols>
  <sheetData>
    <row r="1" spans="1:9" s="60" customFormat="1" ht="12" thickBot="1">
      <c r="A1" s="102" t="s">
        <v>1</v>
      </c>
      <c r="B1" s="103"/>
      <c r="C1" s="103"/>
      <c r="D1" s="103"/>
      <c r="E1" s="103"/>
      <c r="F1" s="103"/>
      <c r="G1" s="103"/>
      <c r="H1" s="104"/>
      <c r="I1" s="98"/>
    </row>
    <row r="2" spans="1:9" s="60" customFormat="1" ht="12" thickBot="1">
      <c r="A2" s="90" t="s">
        <v>0</v>
      </c>
      <c r="B2" s="91" t="s">
        <v>2</v>
      </c>
      <c r="C2" s="101" t="s">
        <v>3</v>
      </c>
      <c r="D2" s="92" t="s">
        <v>4</v>
      </c>
      <c r="E2" s="93" t="s">
        <v>5</v>
      </c>
      <c r="F2" s="93" t="s">
        <v>6</v>
      </c>
      <c r="G2" s="93" t="s">
        <v>7</v>
      </c>
      <c r="H2" s="94" t="s">
        <v>8</v>
      </c>
      <c r="I2" s="98"/>
    </row>
    <row r="3" spans="1:8" ht="11.25">
      <c r="A3" s="62" t="s">
        <v>29</v>
      </c>
      <c r="B3" s="62" t="s">
        <v>30</v>
      </c>
      <c r="C3" s="62" t="s">
        <v>16</v>
      </c>
      <c r="D3" s="63">
        <v>600</v>
      </c>
      <c r="E3" s="64">
        <v>26.75</v>
      </c>
      <c r="F3" s="64">
        <f>($D3*$E3)*0.002</f>
        <v>32.1</v>
      </c>
      <c r="G3" s="64">
        <f>$F3*0.07</f>
        <v>2.2470000000000003</v>
      </c>
      <c r="H3" s="64">
        <f>IF($C3="BUY",(($D3*$E3)+$F3+$G3)*(-1),IF($C3="SELL",($D3*$E3)-$F3-$G3))</f>
        <v>-16084.347</v>
      </c>
    </row>
    <row r="4" spans="1:8" ht="12" thickBot="1">
      <c r="A4" s="65"/>
      <c r="B4" s="65"/>
      <c r="C4" s="65"/>
      <c r="D4" s="66"/>
      <c r="E4" s="67"/>
      <c r="F4" s="67"/>
      <c r="G4" s="68" t="s">
        <v>14</v>
      </c>
      <c r="H4" s="68">
        <f>H3</f>
        <v>-16084.347</v>
      </c>
    </row>
    <row r="5" spans="1:10" ht="11.25">
      <c r="A5" s="62" t="s">
        <v>18</v>
      </c>
      <c r="B5" s="62" t="s">
        <v>31</v>
      </c>
      <c r="C5" s="62" t="s">
        <v>16</v>
      </c>
      <c r="D5" s="63">
        <v>100</v>
      </c>
      <c r="E5" s="64">
        <v>29.25</v>
      </c>
      <c r="F5" s="64">
        <f>($D5*$E5)*0.002</f>
        <v>5.8500000000000005</v>
      </c>
      <c r="G5" s="64">
        <f>$F5*0.07</f>
        <v>0.4095000000000001</v>
      </c>
      <c r="H5" s="64">
        <f>IF($C5="BUY",(($D5*$E5)+$F5+$G5)*(-1),IF($C5="SELL",($D5*$E5)-$F5-$G5))</f>
        <v>-2931.2595</v>
      </c>
      <c r="J5" s="69"/>
    </row>
    <row r="6" spans="1:8" ht="12" thickBot="1">
      <c r="A6" s="65"/>
      <c r="B6" s="65"/>
      <c r="C6" s="65"/>
      <c r="D6" s="66"/>
      <c r="E6" s="67"/>
      <c r="F6" s="67"/>
      <c r="G6" s="68" t="s">
        <v>14</v>
      </c>
      <c r="H6" s="68">
        <f>H5</f>
        <v>-2931.2595</v>
      </c>
    </row>
    <row r="7" spans="1:10" ht="11.25">
      <c r="A7" s="62" t="s">
        <v>36</v>
      </c>
      <c r="B7" s="62" t="s">
        <v>13</v>
      </c>
      <c r="C7" s="62" t="s">
        <v>37</v>
      </c>
      <c r="D7" s="63">
        <v>1000</v>
      </c>
      <c r="E7" s="64">
        <v>51.5</v>
      </c>
      <c r="F7" s="64">
        <f>($D7*$E7)*0.002</f>
        <v>103</v>
      </c>
      <c r="G7" s="64">
        <f>$F7*0.07</f>
        <v>7.210000000000001</v>
      </c>
      <c r="H7" s="64">
        <f>IF($C7="BUY",(($D7*$E7)+$F7+$G7)*(-1),IF($C7="SELL",($D7*$E7)-$F7-$G7))</f>
        <v>51389.79</v>
      </c>
      <c r="J7" s="70">
        <f>-28260.348-18138.734+$H7</f>
        <v>4990.707999999999</v>
      </c>
    </row>
    <row r="8" spans="2:8" ht="11.25">
      <c r="B8" s="62" t="s">
        <v>31</v>
      </c>
      <c r="C8" s="62" t="s">
        <v>16</v>
      </c>
      <c r="D8" s="63">
        <v>900</v>
      </c>
      <c r="E8" s="64">
        <v>29.25</v>
      </c>
      <c r="F8" s="64">
        <f>($D8*$E8)*0.002</f>
        <v>52.65</v>
      </c>
      <c r="G8" s="64">
        <f>$F8*0.07</f>
        <v>3.6855</v>
      </c>
      <c r="H8" s="64">
        <f>IF($C8="BUY",(($D8*$E8)+$F8+$G8)*(-1),IF($C8="SELL",($D8*$E8)-$F8-$G8))</f>
        <v>-26381.3355</v>
      </c>
    </row>
    <row r="9" spans="1:8" ht="12" thickBot="1">
      <c r="A9" s="65"/>
      <c r="B9" s="65"/>
      <c r="C9" s="65"/>
      <c r="D9" s="66"/>
      <c r="E9" s="67"/>
      <c r="F9" s="67"/>
      <c r="G9" s="71" t="s">
        <v>38</v>
      </c>
      <c r="H9" s="71">
        <f>SUM(H7:H8)</f>
        <v>25008.4545</v>
      </c>
    </row>
    <row r="10" spans="1:8" ht="11.25">
      <c r="A10" s="62" t="s">
        <v>40</v>
      </c>
      <c r="B10" s="62" t="s">
        <v>31</v>
      </c>
      <c r="C10" s="62" t="s">
        <v>37</v>
      </c>
      <c r="D10" s="63">
        <v>100</v>
      </c>
      <c r="E10" s="64">
        <v>30</v>
      </c>
      <c r="F10" s="64">
        <f>($D10*$E10)*0.002</f>
        <v>6</v>
      </c>
      <c r="G10" s="64">
        <f>$F10*0.07</f>
        <v>0.42000000000000004</v>
      </c>
      <c r="H10" s="64">
        <f>IF($C10="BUY",(($D10*$E10)+$F10+$G10)*(-1),IF($C10="SELL",($D10*$E10)-$F10-$G10))</f>
        <v>2993.58</v>
      </c>
    </row>
    <row r="11" spans="1:8" ht="12" thickBot="1">
      <c r="A11" s="65"/>
      <c r="B11" s="65"/>
      <c r="C11" s="65"/>
      <c r="D11" s="66"/>
      <c r="E11" s="67"/>
      <c r="F11" s="67"/>
      <c r="G11" s="71" t="s">
        <v>38</v>
      </c>
      <c r="H11" s="71">
        <f>H10</f>
        <v>2993.58</v>
      </c>
    </row>
    <row r="12" spans="1:8" ht="11.25">
      <c r="A12" s="62" t="s">
        <v>42</v>
      </c>
      <c r="B12" s="62" t="s">
        <v>31</v>
      </c>
      <c r="C12" s="62" t="s">
        <v>16</v>
      </c>
      <c r="D12" s="63">
        <v>400</v>
      </c>
      <c r="E12" s="64">
        <v>29.5</v>
      </c>
      <c r="F12" s="64">
        <f>($D12*$E12)*0.002</f>
        <v>23.6</v>
      </c>
      <c r="G12" s="64">
        <f>$F12*0.07</f>
        <v>1.6520000000000004</v>
      </c>
      <c r="H12" s="64">
        <f>IF($C12="BUY",(($D12*$E12)+$F12+$G12)*(-1),IF($C12="SELL",($D12*$E12)-$F12-$G12))</f>
        <v>-11825.252</v>
      </c>
    </row>
    <row r="13" spans="1:8" ht="12" thickBot="1">
      <c r="A13" s="65"/>
      <c r="B13" s="65"/>
      <c r="C13" s="65"/>
      <c r="D13" s="66"/>
      <c r="E13" s="67"/>
      <c r="F13" s="67"/>
      <c r="G13" s="72" t="s">
        <v>14</v>
      </c>
      <c r="H13" s="72">
        <f>H12</f>
        <v>-11825.252</v>
      </c>
    </row>
    <row r="14" spans="1:8" ht="11.25">
      <c r="A14" s="62" t="s">
        <v>44</v>
      </c>
      <c r="B14" s="62" t="s">
        <v>31</v>
      </c>
      <c r="C14" s="62" t="s">
        <v>16</v>
      </c>
      <c r="D14" s="63">
        <v>500</v>
      </c>
      <c r="E14" s="64">
        <v>29.25</v>
      </c>
      <c r="F14" s="64">
        <f>($D14*$E14)*0.002</f>
        <v>29.25</v>
      </c>
      <c r="G14" s="64">
        <f>$F14*0.07</f>
        <v>2.0475000000000003</v>
      </c>
      <c r="H14" s="64">
        <f>IF($C14="BUY",(($D14*$E14)+$F14+$G14)*(-1),IF($C14="SELL",($D14*$E14)-$F14-$G14))</f>
        <v>-14656.2975</v>
      </c>
    </row>
    <row r="15" spans="1:8" ht="12" thickBot="1">
      <c r="A15" s="65"/>
      <c r="B15" s="65"/>
      <c r="C15" s="65"/>
      <c r="D15" s="66"/>
      <c r="E15" s="67"/>
      <c r="F15" s="67"/>
      <c r="G15" s="72" t="s">
        <v>14</v>
      </c>
      <c r="H15" s="72">
        <f>H14</f>
        <v>-14656.2975</v>
      </c>
    </row>
    <row r="16" spans="1:8" ht="11.25">
      <c r="A16" s="62" t="s">
        <v>49</v>
      </c>
      <c r="B16" s="62" t="s">
        <v>31</v>
      </c>
      <c r="C16" s="62" t="s">
        <v>37</v>
      </c>
      <c r="D16" s="63">
        <v>500</v>
      </c>
      <c r="E16" s="64">
        <v>32.75</v>
      </c>
      <c r="F16" s="64">
        <f>($D16*$E16)*0.002</f>
        <v>32.75</v>
      </c>
      <c r="G16" s="64">
        <f>$F16*0.07</f>
        <v>2.2925000000000004</v>
      </c>
      <c r="H16" s="64">
        <f>IF($C16="BUY",(($D16*$E16)+$F16+$G16)*(-1),IF($C16="SELL",($D16*$E16)-$F16-$G16))</f>
        <v>16339.9575</v>
      </c>
    </row>
    <row r="17" spans="2:8" ht="11.25">
      <c r="B17" s="62" t="s">
        <v>31</v>
      </c>
      <c r="C17" s="62" t="s">
        <v>16</v>
      </c>
      <c r="D17" s="63">
        <v>500</v>
      </c>
      <c r="E17" s="64">
        <v>31.5</v>
      </c>
      <c r="F17" s="64">
        <f>($D17*$E17)*0.002</f>
        <v>31.5</v>
      </c>
      <c r="G17" s="64">
        <f>$F17*0.07</f>
        <v>2.205</v>
      </c>
      <c r="H17" s="64">
        <f>IF($C17="BUY",(($D17*$E17)+$F17+$G17)*(-1),IF($C17="SELL",($D17*$E17)-$F17-$G17))</f>
        <v>-15783.705</v>
      </c>
    </row>
    <row r="18" spans="1:8" ht="12" thickBot="1">
      <c r="A18" s="65"/>
      <c r="B18" s="65"/>
      <c r="C18" s="65"/>
      <c r="D18" s="66"/>
      <c r="E18" s="67"/>
      <c r="F18" s="67"/>
      <c r="G18" s="73" t="s">
        <v>38</v>
      </c>
      <c r="H18" s="73">
        <f>SUM(H16:H17)</f>
        <v>556.2525000000005</v>
      </c>
    </row>
    <row r="19" spans="1:8" ht="11.25">
      <c r="A19" s="62" t="s">
        <v>54</v>
      </c>
      <c r="B19" s="62" t="s">
        <v>31</v>
      </c>
      <c r="C19" s="62" t="s">
        <v>16</v>
      </c>
      <c r="D19" s="63">
        <v>500</v>
      </c>
      <c r="E19" s="64">
        <v>29.75</v>
      </c>
      <c r="F19" s="64">
        <f>($D19*$E19)*0.002</f>
        <v>29.75</v>
      </c>
      <c r="G19" s="64">
        <f>$F19*0.07</f>
        <v>2.0825</v>
      </c>
      <c r="H19" s="64">
        <f>IF($C19="BUY",(($D19*$E19)+$F19+$G19)*(-1),IF($C19="SELL",($D19*$E19)-$F19-$G19))</f>
        <v>-14906.8325</v>
      </c>
    </row>
    <row r="20" spans="1:8" ht="12" thickBot="1">
      <c r="A20" s="65"/>
      <c r="B20" s="65"/>
      <c r="C20" s="74"/>
      <c r="D20" s="66"/>
      <c r="E20" s="67"/>
      <c r="F20" s="67"/>
      <c r="G20" s="72" t="s">
        <v>14</v>
      </c>
      <c r="H20" s="72">
        <f>H19</f>
        <v>-14906.8325</v>
      </c>
    </row>
    <row r="21" spans="1:8" ht="11.25">
      <c r="A21" s="62" t="s">
        <v>56</v>
      </c>
      <c r="B21" s="62" t="s">
        <v>31</v>
      </c>
      <c r="C21" s="62" t="s">
        <v>16</v>
      </c>
      <c r="D21" s="63">
        <v>300</v>
      </c>
      <c r="E21" s="64">
        <v>29.5</v>
      </c>
      <c r="F21" s="64">
        <f>($D21*$E21)*0.002</f>
        <v>17.7</v>
      </c>
      <c r="G21" s="64">
        <f>$F21*0.07</f>
        <v>1.239</v>
      </c>
      <c r="H21" s="64">
        <f>IF($C21="BUY",(($D21*$E21)+$F21+$G21)*(-1),IF($C21="SELL",($D21*$E21)-$F21-$G21))</f>
        <v>-8868.939</v>
      </c>
    </row>
    <row r="22" spans="1:8" ht="12" thickBot="1">
      <c r="A22" s="65"/>
      <c r="B22" s="65"/>
      <c r="C22" s="65"/>
      <c r="D22" s="66"/>
      <c r="E22" s="67"/>
      <c r="F22" s="67"/>
      <c r="G22" s="72" t="s">
        <v>14</v>
      </c>
      <c r="H22" s="72">
        <f>H21</f>
        <v>-8868.939</v>
      </c>
    </row>
    <row r="23" spans="1:8" ht="11.25">
      <c r="A23" s="62" t="s">
        <v>58</v>
      </c>
      <c r="B23" s="62" t="s">
        <v>30</v>
      </c>
      <c r="C23" s="62" t="s">
        <v>37</v>
      </c>
      <c r="D23" s="63">
        <v>400</v>
      </c>
      <c r="E23" s="64">
        <v>27.5</v>
      </c>
      <c r="F23" s="64">
        <f>($D23*$E23)*0.002</f>
        <v>22</v>
      </c>
      <c r="G23" s="64">
        <f>$F23*0.07</f>
        <v>1.54</v>
      </c>
      <c r="H23" s="64">
        <f>IF($C23="BUY",(($D23*$E23)+$F23+$G23)*(-1),IF($C23="SELL",($D23*$E23)-$F23-$G23))</f>
        <v>10976.46</v>
      </c>
    </row>
    <row r="24" spans="2:8" ht="11.25">
      <c r="B24" s="62" t="s">
        <v>31</v>
      </c>
      <c r="C24" s="62" t="s">
        <v>16</v>
      </c>
      <c r="D24" s="63">
        <v>400</v>
      </c>
      <c r="E24" s="64">
        <v>28.75</v>
      </c>
      <c r="F24" s="64">
        <f>($D24*$E24)*0.002</f>
        <v>23</v>
      </c>
      <c r="G24" s="64">
        <f>$F24*0.07</f>
        <v>1.61</v>
      </c>
      <c r="H24" s="64">
        <f>IF($C24="BUY",(($D24*$E24)+$F24+$G24)*(-1),IF($C24="SELL",($D24*$E24)-$F24-$G24))</f>
        <v>-11524.61</v>
      </c>
    </row>
    <row r="25" spans="1:8" ht="12" thickBot="1">
      <c r="A25" s="65"/>
      <c r="B25" s="65"/>
      <c r="C25" s="65"/>
      <c r="D25" s="66"/>
      <c r="E25" s="67"/>
      <c r="F25" s="67"/>
      <c r="G25" s="72" t="s">
        <v>14</v>
      </c>
      <c r="H25" s="72">
        <f>SUM(H23:H24)</f>
        <v>-548.1500000000015</v>
      </c>
    </row>
    <row r="26" spans="1:8" ht="11.25">
      <c r="A26" s="62" t="s">
        <v>62</v>
      </c>
      <c r="B26" s="62" t="s">
        <v>30</v>
      </c>
      <c r="C26" s="62" t="s">
        <v>37</v>
      </c>
      <c r="D26" s="63">
        <v>400</v>
      </c>
      <c r="E26" s="64">
        <v>24.5</v>
      </c>
      <c r="F26" s="64">
        <f>($D26*$E26)*0.002</f>
        <v>19.6</v>
      </c>
      <c r="G26" s="64">
        <f>$F26*0.07</f>
        <v>1.3720000000000003</v>
      </c>
      <c r="H26" s="64">
        <f>IF($C26="BUY",(($D26*$E26)+$F26+$G26)*(-1),IF($C26="SELL",($D26*$E26)-$F26-$G26))</f>
        <v>9779.028</v>
      </c>
    </row>
    <row r="27" spans="2:8" ht="11.25">
      <c r="B27" s="62" t="s">
        <v>31</v>
      </c>
      <c r="C27" s="62" t="s">
        <v>37</v>
      </c>
      <c r="D27" s="63">
        <v>700</v>
      </c>
      <c r="E27" s="64">
        <v>28.5</v>
      </c>
      <c r="F27" s="64">
        <f>($D27*$E27)*0.002</f>
        <v>39.9</v>
      </c>
      <c r="G27" s="64">
        <f>$F27*0.07</f>
        <v>2.793</v>
      </c>
      <c r="H27" s="64">
        <f>IF($C27="BUY",(($D27*$E27)+$F27+$G27)*(-1),IF($C27="SELL",($D27*$E27)-$F27-$G27))</f>
        <v>19907.306999999997</v>
      </c>
    </row>
    <row r="28" spans="1:8" ht="12" thickBot="1">
      <c r="A28" s="65"/>
      <c r="B28" s="65"/>
      <c r="C28" s="65"/>
      <c r="D28" s="66"/>
      <c r="E28" s="67"/>
      <c r="F28" s="67"/>
      <c r="G28" s="73" t="s">
        <v>38</v>
      </c>
      <c r="H28" s="73">
        <f>SUM(H26:H27)</f>
        <v>29686.335</v>
      </c>
    </row>
    <row r="29" spans="1:8" ht="11.25">
      <c r="A29" s="62" t="s">
        <v>64</v>
      </c>
      <c r="B29" s="62" t="s">
        <v>31</v>
      </c>
      <c r="C29" s="62" t="s">
        <v>37</v>
      </c>
      <c r="D29" s="63">
        <v>1500</v>
      </c>
      <c r="E29" s="64">
        <v>29.5</v>
      </c>
      <c r="F29" s="64">
        <f>($D29*$E29)*0.002</f>
        <v>88.5</v>
      </c>
      <c r="G29" s="64">
        <f>$F29*0.07</f>
        <v>6.195</v>
      </c>
      <c r="H29" s="64">
        <f>IF($C29="BUY",(($D29*$E29)+$F29+$G29)*(-1),IF($C29="SELL",($D29*$E29)-$F29-$G29))</f>
        <v>44155.305</v>
      </c>
    </row>
    <row r="30" spans="1:8" ht="12" thickBot="1">
      <c r="A30" s="65"/>
      <c r="B30" s="65"/>
      <c r="C30" s="65"/>
      <c r="D30" s="66"/>
      <c r="E30" s="67"/>
      <c r="F30" s="67"/>
      <c r="G30" s="73" t="s">
        <v>38</v>
      </c>
      <c r="H30" s="73">
        <f>H29</f>
        <v>44155.305</v>
      </c>
    </row>
    <row r="31" spans="1:8" ht="11.25">
      <c r="A31" s="62" t="s">
        <v>67</v>
      </c>
      <c r="B31" s="62" t="s">
        <v>31</v>
      </c>
      <c r="C31" s="62" t="s">
        <v>16</v>
      </c>
      <c r="D31" s="63">
        <v>1000</v>
      </c>
      <c r="E31" s="64">
        <v>28.75</v>
      </c>
      <c r="F31" s="64">
        <f>($D31*$E31)*0.002</f>
        <v>57.5</v>
      </c>
      <c r="G31" s="64">
        <f>$F31*0.07</f>
        <v>4.025</v>
      </c>
      <c r="H31" s="64">
        <f>IF($C31="BUY",(($D31*$E31)+$F31+$G31)*(-1),IF($C31="SELL",($D31*$E31)-$F31-$G31))</f>
        <v>-28811.525</v>
      </c>
    </row>
    <row r="32" spans="2:8" ht="11.25">
      <c r="B32" s="62" t="s">
        <v>31</v>
      </c>
      <c r="C32" s="62" t="s">
        <v>16</v>
      </c>
      <c r="D32" s="63">
        <v>100</v>
      </c>
      <c r="E32" s="64">
        <v>28.25</v>
      </c>
      <c r="F32" s="64">
        <f>($D32*$E32)*0.002</f>
        <v>5.65</v>
      </c>
      <c r="G32" s="64">
        <f>$F32*0.07</f>
        <v>0.3955000000000001</v>
      </c>
      <c r="H32" s="64">
        <f>IF($C32="BUY",(($D32*$E32)+$F32+$G32)*(-1),IF($C32="SELL",($D32*$E32)-$F32-$G32))</f>
        <v>-2831.0455</v>
      </c>
    </row>
    <row r="33" spans="1:8" ht="12" thickBot="1">
      <c r="A33" s="65"/>
      <c r="B33" s="65"/>
      <c r="C33" s="65"/>
      <c r="D33" s="66"/>
      <c r="E33" s="67"/>
      <c r="F33" s="67"/>
      <c r="G33" s="72" t="s">
        <v>14</v>
      </c>
      <c r="H33" s="72">
        <f>SUM(H31:H32)</f>
        <v>-31642.5705</v>
      </c>
    </row>
    <row r="34" spans="1:8" ht="11.25">
      <c r="A34" s="62" t="s">
        <v>68</v>
      </c>
      <c r="B34" s="62" t="s">
        <v>31</v>
      </c>
      <c r="C34" s="62" t="s">
        <v>37</v>
      </c>
      <c r="D34" s="63">
        <v>1500</v>
      </c>
      <c r="E34" s="64">
        <v>29.25</v>
      </c>
      <c r="F34" s="64">
        <f>($D34*$E34)*0.002</f>
        <v>87.75</v>
      </c>
      <c r="G34" s="64">
        <f>$F34*0.07</f>
        <v>6.142500000000001</v>
      </c>
      <c r="H34" s="64">
        <f>IF($C34="BUY",(($D34*$E34)+$F34+$G34)*(-1),IF($C34="SELL",($D34*$E34)-$F34-$G34))</f>
        <v>43781.1075</v>
      </c>
    </row>
    <row r="35" spans="1:8" ht="12" thickBot="1">
      <c r="A35" s="65"/>
      <c r="B35" s="65"/>
      <c r="C35" s="65"/>
      <c r="D35" s="66"/>
      <c r="E35" s="67"/>
      <c r="F35" s="67"/>
      <c r="G35" s="73" t="s">
        <v>38</v>
      </c>
      <c r="H35" s="73">
        <f>H34</f>
        <v>43781.1075</v>
      </c>
    </row>
    <row r="36" spans="1:8" ht="11.25">
      <c r="A36" s="62" t="s">
        <v>69</v>
      </c>
      <c r="B36" s="62" t="s">
        <v>32</v>
      </c>
      <c r="C36" s="62" t="s">
        <v>16</v>
      </c>
      <c r="D36" s="63">
        <v>500</v>
      </c>
      <c r="E36" s="64">
        <v>38.5</v>
      </c>
      <c r="F36" s="64">
        <f>($D36*$E36)*0.002</f>
        <v>38.5</v>
      </c>
      <c r="G36" s="64">
        <f>$F36*0.07</f>
        <v>2.6950000000000003</v>
      </c>
      <c r="H36" s="64">
        <f>IF($C36="BUY",(($D36*$E36)+$F36+$G36)*(-1),IF($C36="SELL",($D36*$E36)-$F36-$G36))</f>
        <v>-19291.195</v>
      </c>
    </row>
    <row r="37" spans="2:10" ht="11.25">
      <c r="B37" s="62" t="s">
        <v>31</v>
      </c>
      <c r="C37" s="62" t="s">
        <v>37</v>
      </c>
      <c r="D37" s="63">
        <v>400</v>
      </c>
      <c r="E37" s="64">
        <v>31.25</v>
      </c>
      <c r="F37" s="64">
        <f>($D37*$E37)*0.002</f>
        <v>25</v>
      </c>
      <c r="G37" s="64">
        <f>$F37*0.07</f>
        <v>1.7500000000000002</v>
      </c>
      <c r="H37" s="64">
        <f>IF($C37="BUY",(($D37*$E37)+$F37+$G37)*(-1),IF($C37="SELL",($D37*$E37)-$F37-$G37))</f>
        <v>12473.25</v>
      </c>
      <c r="J37" s="70">
        <f>SUM(H5,H8,H10,H12,H14,H16:H17,H19,H21,H24,H27,H29,H31:H32,H34,H37)</f>
        <v>1129.7054999999891</v>
      </c>
    </row>
    <row r="38" spans="1:8" ht="12" thickBot="1">
      <c r="A38" s="65"/>
      <c r="B38" s="65"/>
      <c r="C38" s="65"/>
      <c r="D38" s="66"/>
      <c r="E38" s="67"/>
      <c r="F38" s="67"/>
      <c r="G38" s="72" t="s">
        <v>14</v>
      </c>
      <c r="H38" s="72">
        <f>SUM(H36:H37)</f>
        <v>-6817.945</v>
      </c>
    </row>
    <row r="39" spans="1:8" ht="11.25">
      <c r="A39" s="62" t="s">
        <v>74</v>
      </c>
      <c r="B39" s="62" t="s">
        <v>32</v>
      </c>
      <c r="C39" s="62" t="s">
        <v>16</v>
      </c>
      <c r="D39" s="63">
        <v>300</v>
      </c>
      <c r="E39" s="64">
        <v>38.25</v>
      </c>
      <c r="F39" s="64">
        <f>($D39*$E39)*0.002</f>
        <v>22.95</v>
      </c>
      <c r="G39" s="64">
        <f>$F39*0.07</f>
        <v>1.6065</v>
      </c>
      <c r="H39" s="64">
        <f>IF($C39="BUY",(($D39*$E39)+$F39+$G39)*(-1),IF($C39="SELL",($D39*$E39)-$F39-$G39))</f>
        <v>-11499.5565</v>
      </c>
    </row>
    <row r="40" spans="1:8" ht="12" thickBot="1">
      <c r="A40" s="65"/>
      <c r="B40" s="65"/>
      <c r="C40" s="65"/>
      <c r="D40" s="66"/>
      <c r="E40" s="67"/>
      <c r="F40" s="67"/>
      <c r="G40" s="72" t="s">
        <v>14</v>
      </c>
      <c r="H40" s="72">
        <f>H39</f>
        <v>-11499.5565</v>
      </c>
    </row>
    <row r="41" spans="1:10" ht="11.25">
      <c r="A41" s="62" t="s">
        <v>77</v>
      </c>
      <c r="B41" s="62" t="s">
        <v>32</v>
      </c>
      <c r="C41" s="62" t="s">
        <v>37</v>
      </c>
      <c r="D41" s="63">
        <v>500</v>
      </c>
      <c r="E41" s="64">
        <v>39.5</v>
      </c>
      <c r="F41" s="64">
        <f>($D41*$E41)*0.002</f>
        <v>39.5</v>
      </c>
      <c r="G41" s="64">
        <f>$F41*0.07</f>
        <v>2.765</v>
      </c>
      <c r="H41" s="64">
        <f>IF($C41="BUY",(($D41*$E41)+$F41+$G41)*(-1),IF($C41="SELL",($D41*$E41)-$F41-$G41))</f>
        <v>19707.735</v>
      </c>
      <c r="J41" s="69"/>
    </row>
    <row r="42" spans="2:8" ht="11.25">
      <c r="B42" s="62" t="s">
        <v>32</v>
      </c>
      <c r="C42" s="62" t="s">
        <v>16</v>
      </c>
      <c r="D42" s="63">
        <v>500</v>
      </c>
      <c r="E42" s="64">
        <v>39.5</v>
      </c>
      <c r="F42" s="64">
        <f>($D42*$E42)*0.002</f>
        <v>39.5</v>
      </c>
      <c r="G42" s="64">
        <f>$F42*0.07</f>
        <v>2.765</v>
      </c>
      <c r="H42" s="64">
        <f>IF($C42="BUY",(($D42*$E42)+$F42+$G42)*(-1),IF($C42="SELL",($D42*$E42)-$F42-$G42))</f>
        <v>-19792.265</v>
      </c>
    </row>
    <row r="43" spans="1:8" ht="12" thickBot="1">
      <c r="A43" s="65"/>
      <c r="B43" s="65"/>
      <c r="C43" s="65"/>
      <c r="D43" s="66"/>
      <c r="E43" s="67"/>
      <c r="F43" s="67"/>
      <c r="G43" s="72" t="s">
        <v>14</v>
      </c>
      <c r="H43" s="72">
        <f>SUM(H41:H42)</f>
        <v>-84.52999999999884</v>
      </c>
    </row>
    <row r="44" spans="1:8" ht="11.25">
      <c r="A44" s="62" t="s">
        <v>85</v>
      </c>
      <c r="B44" s="62" t="s">
        <v>32</v>
      </c>
      <c r="C44" s="62" t="s">
        <v>37</v>
      </c>
      <c r="D44" s="63">
        <v>500</v>
      </c>
      <c r="E44" s="64">
        <v>38.5</v>
      </c>
      <c r="F44" s="64">
        <f>($D44*$E44)*0.002</f>
        <v>38.5</v>
      </c>
      <c r="G44" s="64">
        <f>$F44*0.07</f>
        <v>2.6950000000000003</v>
      </c>
      <c r="H44" s="64">
        <f>IF($C44="BUY",(($D44*$E44)+$F44+$G44)*(-1),IF($C44="SELL",($D44*$E44)-$F44-$G44))</f>
        <v>19208.805</v>
      </c>
    </row>
    <row r="45" spans="1:8" ht="12" thickBot="1">
      <c r="A45" s="65"/>
      <c r="B45" s="65"/>
      <c r="C45" s="65"/>
      <c r="D45" s="66"/>
      <c r="E45" s="67"/>
      <c r="F45" s="67"/>
      <c r="G45" s="73" t="s">
        <v>38</v>
      </c>
      <c r="H45" s="73">
        <f>H44</f>
        <v>19208.805</v>
      </c>
    </row>
    <row r="46" spans="1:8" ht="11.25">
      <c r="A46" s="62" t="s">
        <v>91</v>
      </c>
      <c r="B46" s="62" t="s">
        <v>30</v>
      </c>
      <c r="C46" s="62" t="s">
        <v>37</v>
      </c>
      <c r="D46" s="63">
        <v>600</v>
      </c>
      <c r="E46" s="64">
        <v>23.5</v>
      </c>
      <c r="F46" s="64">
        <f>($D46*$E46)*0.002</f>
        <v>28.2</v>
      </c>
      <c r="G46" s="64">
        <f>$F46*0.07</f>
        <v>1.9740000000000002</v>
      </c>
      <c r="H46" s="64">
        <f>IF($C46="BUY",(($D46*$E46)+$F46+$G46)*(-1),IF($C46="SELL",($D46*$E46)-$F46-$G46))</f>
        <v>14069.826</v>
      </c>
    </row>
    <row r="47" spans="2:8" ht="11.25">
      <c r="B47" s="62" t="s">
        <v>92</v>
      </c>
      <c r="C47" s="62" t="s">
        <v>16</v>
      </c>
      <c r="D47" s="63">
        <v>500</v>
      </c>
      <c r="E47" s="64">
        <v>23.7</v>
      </c>
      <c r="F47" s="64">
        <f>($D47*$E47)*0.002</f>
        <v>23.7</v>
      </c>
      <c r="G47" s="64">
        <f>$F47*0.07</f>
        <v>1.659</v>
      </c>
      <c r="H47" s="64">
        <f>IF($C47="BUY",(($D47*$E47)+$F47+$G47)*(-1),IF($C47="SELL",($D47*$E47)-$F47-$G47))</f>
        <v>-11875.359</v>
      </c>
    </row>
    <row r="48" spans="2:8" ht="11.25">
      <c r="B48" s="62" t="s">
        <v>92</v>
      </c>
      <c r="C48" s="62" t="s">
        <v>16</v>
      </c>
      <c r="D48" s="63">
        <v>300</v>
      </c>
      <c r="E48" s="64">
        <v>23.3</v>
      </c>
      <c r="F48" s="64">
        <f>($D48*$E48)*0.002</f>
        <v>13.98</v>
      </c>
      <c r="G48" s="64">
        <f>$F48*0.07</f>
        <v>0.9786000000000001</v>
      </c>
      <c r="H48" s="64">
        <f>IF($C48="BUY",(($D48*$E48)+$F48+$G48)*(-1),IF($C48="SELL",($D48*$E48)-$F48-$G48))</f>
        <v>-7004.9586</v>
      </c>
    </row>
    <row r="49" spans="2:8" ht="11.25">
      <c r="B49" s="62" t="s">
        <v>92</v>
      </c>
      <c r="C49" s="62" t="s">
        <v>16</v>
      </c>
      <c r="D49" s="63">
        <v>300</v>
      </c>
      <c r="E49" s="64">
        <v>23.2</v>
      </c>
      <c r="F49" s="64">
        <f>($D49*$E49)*0.002</f>
        <v>13.92</v>
      </c>
      <c r="G49" s="64">
        <f>$F49*0.07</f>
        <v>0.9744</v>
      </c>
      <c r="H49" s="64">
        <f>IF($C49="BUY",(($D49*$E49)+$F49+$G49)*(-1),IF($C49="SELL",($D49*$E49)-$F49-$G49))</f>
        <v>-6974.8944</v>
      </c>
    </row>
    <row r="50" spans="1:8" ht="12" thickBot="1">
      <c r="A50" s="65"/>
      <c r="B50" s="65"/>
      <c r="C50" s="65"/>
      <c r="D50" s="66"/>
      <c r="E50" s="67"/>
      <c r="F50" s="67"/>
      <c r="G50" s="72" t="s">
        <v>14</v>
      </c>
      <c r="H50" s="72">
        <f>SUM(H46:H49)</f>
        <v>-11785.386000000002</v>
      </c>
    </row>
    <row r="51" spans="1:8" ht="11.25">
      <c r="A51" s="62" t="s">
        <v>93</v>
      </c>
      <c r="B51" s="62" t="s">
        <v>92</v>
      </c>
      <c r="C51" s="62" t="s">
        <v>37</v>
      </c>
      <c r="D51" s="63">
        <v>300</v>
      </c>
      <c r="E51" s="64">
        <v>24</v>
      </c>
      <c r="F51" s="64">
        <f>($D51*$E51)*0.002</f>
        <v>14.4</v>
      </c>
      <c r="G51" s="64">
        <f>$F51*0.07</f>
        <v>1.0080000000000002</v>
      </c>
      <c r="H51" s="64">
        <f>IF($C51="BUY",(($D51*$E51)+$F51+$G51)*(-1),IF($C51="SELL",($D51*$E51)-$F51-$G51))</f>
        <v>7184.592000000001</v>
      </c>
    </row>
    <row r="52" spans="2:10" ht="11.25">
      <c r="B52" s="62" t="s">
        <v>92</v>
      </c>
      <c r="C52" s="62" t="s">
        <v>37</v>
      </c>
      <c r="D52" s="63">
        <v>800</v>
      </c>
      <c r="E52" s="64">
        <v>23.9</v>
      </c>
      <c r="F52" s="64">
        <f>($D52*$E52)*0.002</f>
        <v>38.24</v>
      </c>
      <c r="G52" s="64">
        <f>$F52*0.07</f>
        <v>2.6768000000000005</v>
      </c>
      <c r="H52" s="64">
        <f>IF($C52="BUY",(($D52*$E52)+$F52+$G52)*(-1),IF($C52="SELL",($D52*$E52)-$F52-$G52))</f>
        <v>19079.083199999997</v>
      </c>
      <c r="J52" s="70">
        <f>SUM(H47:H49,H51:H52)</f>
        <v>408.4631999999947</v>
      </c>
    </row>
    <row r="53" spans="2:8" ht="11.25">
      <c r="B53" s="62" t="s">
        <v>94</v>
      </c>
      <c r="C53" s="62" t="s">
        <v>16</v>
      </c>
      <c r="D53" s="63">
        <v>4000</v>
      </c>
      <c r="E53" s="64">
        <v>7.75</v>
      </c>
      <c r="F53" s="64">
        <f>($D53*$E53)*0.002</f>
        <v>62</v>
      </c>
      <c r="G53" s="64">
        <f>$F53*0.07</f>
        <v>4.340000000000001</v>
      </c>
      <c r="H53" s="64">
        <f>IF($C53="BUY",(($D53*$E53)+$F53+$G53)*(-1),IF($C53="SELL",($D53*$E53)-$F53-$G53))</f>
        <v>-31066.34</v>
      </c>
    </row>
    <row r="54" spans="1:8" ht="12" thickBot="1">
      <c r="A54" s="65"/>
      <c r="B54" s="65"/>
      <c r="C54" s="65"/>
      <c r="D54" s="66"/>
      <c r="E54" s="67"/>
      <c r="F54" s="67"/>
      <c r="G54" s="72" t="s">
        <v>14</v>
      </c>
      <c r="H54" s="72">
        <f>SUM(H51:H53)</f>
        <v>-4802.664800000002</v>
      </c>
    </row>
    <row r="55" spans="1:8" ht="11.25">
      <c r="A55" s="62" t="s">
        <v>96</v>
      </c>
      <c r="B55" s="62" t="s">
        <v>32</v>
      </c>
      <c r="C55" s="62" t="s">
        <v>37</v>
      </c>
      <c r="D55" s="63">
        <v>1000</v>
      </c>
      <c r="E55" s="64">
        <v>37.25</v>
      </c>
      <c r="F55" s="64">
        <f>($D55*$E55)*0.002</f>
        <v>74.5</v>
      </c>
      <c r="G55" s="64">
        <f>$F55*0.07</f>
        <v>5.215000000000001</v>
      </c>
      <c r="H55" s="64">
        <f>IF($C55="BUY",(($D55*$E55)+$F55+$G55)*(-1),IF($C55="SELL",($D55*$E55)-$F55-$G55))</f>
        <v>37170.285</v>
      </c>
    </row>
    <row r="56" spans="1:8" ht="12" thickBot="1">
      <c r="A56" s="65"/>
      <c r="B56" s="65"/>
      <c r="C56" s="65"/>
      <c r="D56" s="66"/>
      <c r="E56" s="67"/>
      <c r="F56" s="67"/>
      <c r="G56" s="73" t="s">
        <v>38</v>
      </c>
      <c r="H56" s="73">
        <f>H55</f>
        <v>37170.285</v>
      </c>
    </row>
    <row r="57" spans="1:8" ht="11.25">
      <c r="A57" s="62" t="s">
        <v>98</v>
      </c>
      <c r="B57" s="62" t="s">
        <v>94</v>
      </c>
      <c r="C57" s="62" t="s">
        <v>37</v>
      </c>
      <c r="D57" s="63">
        <v>2000</v>
      </c>
      <c r="E57" s="64">
        <v>8</v>
      </c>
      <c r="F57" s="64">
        <f>($D57*$E57)*0.002</f>
        <v>32</v>
      </c>
      <c r="G57" s="64">
        <f>$F57*0.07</f>
        <v>2.24</v>
      </c>
      <c r="H57" s="64">
        <f>IF($C57="BUY",(($D57*$E57)+$F57+$G57)*(-1),IF($C57="SELL",($D57*$E57)-$F57-$G57))</f>
        <v>15965.76</v>
      </c>
    </row>
    <row r="58" spans="1:8" ht="12" thickBot="1">
      <c r="A58" s="65"/>
      <c r="B58" s="65"/>
      <c r="C58" s="65"/>
      <c r="D58" s="66"/>
      <c r="E58" s="67"/>
      <c r="F58" s="67"/>
      <c r="G58" s="73" t="s">
        <v>38</v>
      </c>
      <c r="H58" s="73">
        <f>H57</f>
        <v>15965.76</v>
      </c>
    </row>
    <row r="59" spans="1:8" ht="11.25">
      <c r="A59" s="62" t="s">
        <v>100</v>
      </c>
      <c r="B59" s="62" t="s">
        <v>13</v>
      </c>
      <c r="C59" s="62" t="s">
        <v>16</v>
      </c>
      <c r="D59" s="63">
        <v>300</v>
      </c>
      <c r="E59" s="64">
        <v>79</v>
      </c>
      <c r="F59" s="64">
        <f>($D59*$E59)*0.002</f>
        <v>47.4</v>
      </c>
      <c r="G59" s="64">
        <f>$F59*0.07</f>
        <v>3.318</v>
      </c>
      <c r="H59" s="64">
        <f>IF($C59="BUY",(($D59*$E59)+$F59+$G59)*(-1),IF($C59="SELL",($D59*$E59)-$F59-$G59))</f>
        <v>-23750.718</v>
      </c>
    </row>
    <row r="60" spans="2:8" ht="11.25">
      <c r="B60" s="62" t="s">
        <v>13</v>
      </c>
      <c r="C60" s="62" t="s">
        <v>37</v>
      </c>
      <c r="D60" s="63">
        <v>300</v>
      </c>
      <c r="E60" s="64">
        <v>70.5</v>
      </c>
      <c r="F60" s="64">
        <f>($D60*$E60)*0.002</f>
        <v>42.300000000000004</v>
      </c>
      <c r="G60" s="64">
        <f>$F60*0.07</f>
        <v>2.9610000000000007</v>
      </c>
      <c r="H60" s="64">
        <f>IF($C60="BUY",(($D60*$E60)+$F60+$G60)*(-1),IF($C60="SELL",($D60*$E60)-$F60-$G60))</f>
        <v>21104.739</v>
      </c>
    </row>
    <row r="61" spans="1:8" ht="12" thickBot="1">
      <c r="A61" s="65"/>
      <c r="B61" s="65"/>
      <c r="C61" s="65"/>
      <c r="D61" s="66"/>
      <c r="E61" s="67"/>
      <c r="F61" s="67"/>
      <c r="G61" s="75" t="s">
        <v>14</v>
      </c>
      <c r="H61" s="75">
        <f>SUM(H59:H60)</f>
        <v>-2645.9789999999994</v>
      </c>
    </row>
    <row r="62" spans="1:8" ht="11.25">
      <c r="A62" s="62" t="s">
        <v>102</v>
      </c>
      <c r="B62" s="62" t="s">
        <v>103</v>
      </c>
      <c r="C62" s="62" t="s">
        <v>16</v>
      </c>
      <c r="D62" s="63">
        <v>5000</v>
      </c>
      <c r="E62" s="64">
        <v>4.24</v>
      </c>
      <c r="F62" s="64">
        <f>($D62*$E62)*0.002</f>
        <v>42.4</v>
      </c>
      <c r="G62" s="64">
        <f>$F62*0.07</f>
        <v>2.968</v>
      </c>
      <c r="H62" s="64">
        <f>IF($C62="BUY",(($D62*$E62)+$F62+$G62)*(-1),IF($C62="SELL",($D62*$E62)-$F62-$G62))</f>
        <v>-21245.368000000002</v>
      </c>
    </row>
    <row r="63" spans="2:8" ht="11.25">
      <c r="B63" s="62" t="s">
        <v>103</v>
      </c>
      <c r="C63" s="62" t="s">
        <v>37</v>
      </c>
      <c r="D63" s="63">
        <v>4500</v>
      </c>
      <c r="E63" s="64">
        <v>4.32</v>
      </c>
      <c r="F63" s="64">
        <f>($D63*$E63)*0.002</f>
        <v>38.88</v>
      </c>
      <c r="G63" s="64">
        <f>$F63*0.07</f>
        <v>2.7216000000000005</v>
      </c>
      <c r="H63" s="64">
        <f>IF($C63="BUY",(($D63*$E63)+$F63+$G63)*(-1),IF($C63="SELL",($D63*$E63)-$F63-$G63))</f>
        <v>19398.3984</v>
      </c>
    </row>
    <row r="64" spans="2:8" ht="11.25">
      <c r="B64" s="62" t="s">
        <v>103</v>
      </c>
      <c r="C64" s="62" t="s">
        <v>16</v>
      </c>
      <c r="D64" s="63">
        <v>5000</v>
      </c>
      <c r="E64" s="64">
        <v>4.2</v>
      </c>
      <c r="F64" s="64">
        <f>($D64*$E64)*0.002</f>
        <v>42</v>
      </c>
      <c r="G64" s="64">
        <f>$F64*0.07</f>
        <v>2.9400000000000004</v>
      </c>
      <c r="H64" s="64">
        <f>IF($C64="BUY",(($D64*$E64)+$F64+$G64)*(-1),IF($C64="SELL",($D64*$E64)-$F64-$G64))</f>
        <v>-21044.94</v>
      </c>
    </row>
    <row r="65" spans="2:8" ht="11.25">
      <c r="B65" s="62" t="s">
        <v>103</v>
      </c>
      <c r="C65" s="62" t="s">
        <v>16</v>
      </c>
      <c r="D65" s="63">
        <v>5000</v>
      </c>
      <c r="E65" s="64">
        <v>4.18</v>
      </c>
      <c r="F65" s="64">
        <f>($D65*$E65)*0.002</f>
        <v>41.800000000000004</v>
      </c>
      <c r="G65" s="64">
        <f>$F65*0.07</f>
        <v>2.9260000000000006</v>
      </c>
      <c r="H65" s="64">
        <f>IF($C65="BUY",(($D65*$E65)+$F65+$G65)*(-1),IF($C65="SELL",($D65*$E65)-$F65-$G65))</f>
        <v>-20944.726</v>
      </c>
    </row>
    <row r="66" spans="2:8" ht="11.25">
      <c r="B66" s="62" t="s">
        <v>104</v>
      </c>
      <c r="C66" s="62" t="s">
        <v>16</v>
      </c>
      <c r="D66" s="63">
        <v>300</v>
      </c>
      <c r="E66" s="64">
        <v>108</v>
      </c>
      <c r="F66" s="64">
        <f>($D66*$E66)*0.002</f>
        <v>64.8</v>
      </c>
      <c r="G66" s="64">
        <f>$F66*0.07</f>
        <v>4.5360000000000005</v>
      </c>
      <c r="H66" s="64">
        <f>IF($C66="BUY",(($D66*$E66)+$F66+$G66)*(-1),IF($C66="SELL",($D66*$E66)-$F66-$G66))</f>
        <v>-32469.336</v>
      </c>
    </row>
    <row r="67" spans="1:8" ht="12" thickBot="1">
      <c r="A67" s="65"/>
      <c r="B67" s="65"/>
      <c r="C67" s="65"/>
      <c r="D67" s="66"/>
      <c r="E67" s="67"/>
      <c r="F67" s="67"/>
      <c r="G67" s="72" t="s">
        <v>14</v>
      </c>
      <c r="H67" s="72">
        <f>SUM(H62:H66)</f>
        <v>-76305.9716</v>
      </c>
    </row>
    <row r="68" spans="1:10" ht="11.25">
      <c r="A68" s="62" t="s">
        <v>106</v>
      </c>
      <c r="B68" s="62" t="s">
        <v>104</v>
      </c>
      <c r="C68" s="62" t="s">
        <v>37</v>
      </c>
      <c r="D68" s="63">
        <v>300</v>
      </c>
      <c r="E68" s="64">
        <v>113</v>
      </c>
      <c r="F68" s="64">
        <f>($D68*$E68)*0.002</f>
        <v>67.8</v>
      </c>
      <c r="G68" s="64">
        <f>$F68*0.07</f>
        <v>4.746</v>
      </c>
      <c r="H68" s="64">
        <f>IF($C68="BUY",(($D68*$E68)+$F68+$G68)*(-1),IF($C68="SELL",($D68*$E68)-$F68-$G68))</f>
        <v>33827.454</v>
      </c>
      <c r="J68" s="69"/>
    </row>
    <row r="69" spans="2:8" ht="11.25">
      <c r="B69" s="62" t="s">
        <v>104</v>
      </c>
      <c r="C69" s="62" t="s">
        <v>16</v>
      </c>
      <c r="D69" s="63">
        <v>300</v>
      </c>
      <c r="E69" s="64">
        <v>110</v>
      </c>
      <c r="F69" s="64">
        <f>($D69*$E69)*0.002</f>
        <v>66</v>
      </c>
      <c r="G69" s="64">
        <f>$F69*0.07</f>
        <v>4.62</v>
      </c>
      <c r="H69" s="64">
        <f>IF($C69="BUY",(($D69*$E69)+$F69+$G69)*(-1),IF($C69="SELL",($D69*$E69)-$F69-$G69))</f>
        <v>-33070.62</v>
      </c>
    </row>
    <row r="70" spans="1:8" ht="12" thickBot="1">
      <c r="A70" s="65"/>
      <c r="B70" s="65"/>
      <c r="C70" s="65"/>
      <c r="D70" s="66"/>
      <c r="E70" s="67"/>
      <c r="F70" s="67"/>
      <c r="G70" s="73" t="s">
        <v>38</v>
      </c>
      <c r="H70" s="73">
        <f>SUM(H68:H69)</f>
        <v>756.8339999999953</v>
      </c>
    </row>
    <row r="71" spans="1:10" ht="11.25">
      <c r="A71" s="62" t="s">
        <v>108</v>
      </c>
      <c r="B71" s="62" t="s">
        <v>104</v>
      </c>
      <c r="C71" s="62" t="s">
        <v>37</v>
      </c>
      <c r="D71" s="63">
        <v>300</v>
      </c>
      <c r="E71" s="64">
        <v>112</v>
      </c>
      <c r="F71" s="64">
        <f>($D71*$E71)*0.002</f>
        <v>67.2</v>
      </c>
      <c r="G71" s="64">
        <f>$F71*0.07</f>
        <v>4.704000000000001</v>
      </c>
      <c r="H71" s="64">
        <f>IF($C71="BUY",(($D71*$E71)+$F71+$G71)*(-1),IF($C71="SELL",($D71*$E71)-$F71-$G71))</f>
        <v>33528.096000000005</v>
      </c>
      <c r="J71" s="70">
        <f>SUM(H66,H68:H69,H71)</f>
        <v>1815.594000000001</v>
      </c>
    </row>
    <row r="72" spans="2:10" ht="11.25">
      <c r="B72" s="62" t="s">
        <v>94</v>
      </c>
      <c r="C72" s="62" t="s">
        <v>37</v>
      </c>
      <c r="D72" s="63">
        <v>2000</v>
      </c>
      <c r="E72" s="64">
        <v>7.95</v>
      </c>
      <c r="F72" s="64">
        <f>($D72*$E72)*0.002</f>
        <v>31.8</v>
      </c>
      <c r="G72" s="64">
        <f>$F72*0.07</f>
        <v>2.2260000000000004</v>
      </c>
      <c r="H72" s="64">
        <f>IF($C72="BUY",(($D72*$E72)+$F72+$G72)*(-1),IF($C72="SELL",($D72*$E72)-$F72-$G72))</f>
        <v>15865.974</v>
      </c>
      <c r="J72" s="70">
        <f>SUM(H53,H57,H72)</f>
        <v>765.3940000000002</v>
      </c>
    </row>
    <row r="73" spans="2:8" ht="11.25">
      <c r="B73" s="62" t="s">
        <v>103</v>
      </c>
      <c r="C73" s="62" t="s">
        <v>37</v>
      </c>
      <c r="D73" s="63">
        <v>5500</v>
      </c>
      <c r="E73" s="64">
        <v>4.48</v>
      </c>
      <c r="F73" s="64">
        <f>($D73*$E73)*0.002</f>
        <v>49.28000000000001</v>
      </c>
      <c r="G73" s="64">
        <f>$F73*0.07</f>
        <v>3.449600000000001</v>
      </c>
      <c r="H73" s="64">
        <f>IF($C73="BUY",(($D73*$E73)+$F73+$G73)*(-1),IF($C73="SELL",($D73*$E73)-$F73-$G73))</f>
        <v>24587.270400000005</v>
      </c>
    </row>
    <row r="74" spans="1:8" ht="12" thickBot="1">
      <c r="A74" s="65"/>
      <c r="B74" s="65"/>
      <c r="C74" s="65"/>
      <c r="D74" s="66"/>
      <c r="E74" s="67"/>
      <c r="F74" s="67"/>
      <c r="G74" s="73" t="s">
        <v>38</v>
      </c>
      <c r="H74" s="73">
        <f>SUM(H71:H73)</f>
        <v>73981.34040000002</v>
      </c>
    </row>
    <row r="75" spans="1:8" ht="11.25">
      <c r="A75" s="62" t="s">
        <v>110</v>
      </c>
      <c r="B75" s="62" t="s">
        <v>103</v>
      </c>
      <c r="C75" s="62" t="s">
        <v>37</v>
      </c>
      <c r="D75" s="63">
        <v>2000</v>
      </c>
      <c r="E75" s="64">
        <v>5</v>
      </c>
      <c r="F75" s="64">
        <f>($D75*$E75)*0.002</f>
        <v>20</v>
      </c>
      <c r="G75" s="64">
        <f>$F75*0.07</f>
        <v>1.4000000000000001</v>
      </c>
      <c r="H75" s="64">
        <f>IF($C75="BUY",(($D75*$E75)+$F75+$G75)*(-1),IF($C75="SELL",($D75*$E75)-$F75-$G75))</f>
        <v>9978.6</v>
      </c>
    </row>
    <row r="76" spans="2:10" ht="11.25">
      <c r="B76" s="62" t="s">
        <v>103</v>
      </c>
      <c r="C76" s="62" t="s">
        <v>37</v>
      </c>
      <c r="D76" s="63">
        <v>3000</v>
      </c>
      <c r="E76" s="64">
        <v>4.96</v>
      </c>
      <c r="F76" s="64">
        <f>($D76*$E76)*0.002</f>
        <v>29.76</v>
      </c>
      <c r="G76" s="64">
        <f>$F76*0.07</f>
        <v>2.0832</v>
      </c>
      <c r="H76" s="64">
        <f>IF($C76="BUY",(($D76*$E76)+$F76+$G76)*(-1),IF($C76="SELL",($D76*$E76)-$F76-$G76))</f>
        <v>14848.1568</v>
      </c>
      <c r="J76" s="70">
        <f>SUM(H62:H65,H73,H75:H76)</f>
        <v>5577.3916000000045</v>
      </c>
    </row>
    <row r="77" spans="1:8" ht="12" thickBot="1">
      <c r="A77" s="65"/>
      <c r="B77" s="65"/>
      <c r="C77" s="65"/>
      <c r="D77" s="66"/>
      <c r="E77" s="67"/>
      <c r="F77" s="67"/>
      <c r="G77" s="73" t="s">
        <v>38</v>
      </c>
      <c r="H77" s="73">
        <f>SUM(H75:H76)</f>
        <v>24826.756800000003</v>
      </c>
    </row>
    <row r="78" spans="1:8" ht="11.25">
      <c r="A78" s="62" t="s">
        <v>113</v>
      </c>
      <c r="B78" s="62" t="s">
        <v>32</v>
      </c>
      <c r="C78" s="62" t="s">
        <v>16</v>
      </c>
      <c r="D78" s="63">
        <v>200</v>
      </c>
      <c r="E78" s="64">
        <v>37</v>
      </c>
      <c r="F78" s="64">
        <f>($D78*$E78)*0.002</f>
        <v>14.8</v>
      </c>
      <c r="G78" s="64">
        <f>$F78*0.07</f>
        <v>1.0360000000000003</v>
      </c>
      <c r="H78" s="64">
        <f>IF($C78="BUY",(($D78*$E78)+$F78+$G78)*(-1),IF($C78="SELL",($D78*$E78)-$F78-$G78))</f>
        <v>-7415.836</v>
      </c>
    </row>
    <row r="79" spans="1:8" ht="12" thickBot="1">
      <c r="A79" s="65"/>
      <c r="B79" s="65"/>
      <c r="C79" s="65"/>
      <c r="D79" s="66"/>
      <c r="E79" s="67"/>
      <c r="F79" s="67"/>
      <c r="G79" s="72" t="s">
        <v>14</v>
      </c>
      <c r="H79" s="72">
        <f>H78</f>
        <v>-7415.836</v>
      </c>
    </row>
    <row r="80" spans="1:10" ht="11.25">
      <c r="A80" s="62" t="s">
        <v>116</v>
      </c>
      <c r="B80" s="62" t="s">
        <v>32</v>
      </c>
      <c r="C80" s="62" t="s">
        <v>37</v>
      </c>
      <c r="D80" s="63">
        <v>500</v>
      </c>
      <c r="E80" s="64">
        <v>39.5</v>
      </c>
      <c r="F80" s="64">
        <f aca="true" t="shared" si="0" ref="F80:F118">($D80*$E80)*0.002</f>
        <v>39.5</v>
      </c>
      <c r="G80" s="64">
        <f aca="true" t="shared" si="1" ref="G80:G148">$F80*0.07</f>
        <v>2.765</v>
      </c>
      <c r="H80" s="64">
        <f aca="true" t="shared" si="2" ref="H80:H90">IF($C80="BUY",(($D80*$E80)+$F80+$G80)*(-1),IF($C80="SELL",($D80*$E80)-$F80-$G80))</f>
        <v>19707.735</v>
      </c>
      <c r="J80" s="69"/>
    </row>
    <row r="81" spans="2:8" ht="11.25">
      <c r="B81" s="62" t="s">
        <v>104</v>
      </c>
      <c r="C81" s="62" t="s">
        <v>16</v>
      </c>
      <c r="D81" s="63">
        <v>100</v>
      </c>
      <c r="E81" s="64">
        <v>105</v>
      </c>
      <c r="F81" s="64">
        <f t="shared" si="0"/>
        <v>21</v>
      </c>
      <c r="G81" s="64">
        <f t="shared" si="1"/>
        <v>1.4700000000000002</v>
      </c>
      <c r="H81" s="64">
        <f t="shared" si="2"/>
        <v>-10522.47</v>
      </c>
    </row>
    <row r="82" spans="2:8" ht="11.25">
      <c r="B82" s="62" t="s">
        <v>104</v>
      </c>
      <c r="C82" s="62" t="s">
        <v>16</v>
      </c>
      <c r="D82" s="63">
        <v>600</v>
      </c>
      <c r="E82" s="64">
        <v>104</v>
      </c>
      <c r="F82" s="64">
        <f t="shared" si="0"/>
        <v>124.8</v>
      </c>
      <c r="G82" s="64">
        <f t="shared" si="1"/>
        <v>8.736</v>
      </c>
      <c r="H82" s="64">
        <f t="shared" si="2"/>
        <v>-62533.536</v>
      </c>
    </row>
    <row r="83" spans="2:8" ht="11.25">
      <c r="B83" s="62" t="s">
        <v>104</v>
      </c>
      <c r="C83" s="62" t="s">
        <v>16</v>
      </c>
      <c r="D83" s="63">
        <v>100</v>
      </c>
      <c r="E83" s="64">
        <v>101</v>
      </c>
      <c r="F83" s="64">
        <f t="shared" si="0"/>
        <v>20.2</v>
      </c>
      <c r="G83" s="64">
        <f t="shared" si="1"/>
        <v>1.4140000000000001</v>
      </c>
      <c r="H83" s="64">
        <f t="shared" si="2"/>
        <v>-10121.614000000001</v>
      </c>
    </row>
    <row r="84" spans="2:8" ht="11.25">
      <c r="B84" s="62" t="s">
        <v>103</v>
      </c>
      <c r="C84" s="62" t="s">
        <v>16</v>
      </c>
      <c r="D84" s="63">
        <v>10000</v>
      </c>
      <c r="E84" s="64">
        <v>5.05</v>
      </c>
      <c r="F84" s="64">
        <f t="shared" si="0"/>
        <v>101</v>
      </c>
      <c r="G84" s="64">
        <f t="shared" si="1"/>
        <v>7.07</v>
      </c>
      <c r="H84" s="64">
        <f t="shared" si="2"/>
        <v>-50608.07</v>
      </c>
    </row>
    <row r="85" spans="2:10" ht="11.25">
      <c r="B85" s="62" t="s">
        <v>103</v>
      </c>
      <c r="C85" s="62" t="s">
        <v>37</v>
      </c>
      <c r="D85" s="63">
        <v>10000</v>
      </c>
      <c r="E85" s="64">
        <v>5.2</v>
      </c>
      <c r="F85" s="64">
        <f t="shared" si="0"/>
        <v>104</v>
      </c>
      <c r="G85" s="64">
        <f t="shared" si="1"/>
        <v>7.280000000000001</v>
      </c>
      <c r="H85" s="64">
        <f t="shared" si="2"/>
        <v>51888.72</v>
      </c>
      <c r="J85" s="76">
        <f>SUM(H84:H85)</f>
        <v>1280.6500000000015</v>
      </c>
    </row>
    <row r="86" spans="1:8" ht="12" thickBot="1">
      <c r="A86" s="65"/>
      <c r="B86" s="65"/>
      <c r="C86" s="65"/>
      <c r="D86" s="66"/>
      <c r="E86" s="67"/>
      <c r="F86" s="67"/>
      <c r="G86" s="72" t="s">
        <v>14</v>
      </c>
      <c r="H86" s="72">
        <f>SUM(H80:H85)</f>
        <v>-62189.235</v>
      </c>
    </row>
    <row r="87" spans="1:8" ht="11.25">
      <c r="A87" s="62" t="s">
        <v>118</v>
      </c>
      <c r="B87" s="62" t="s">
        <v>104</v>
      </c>
      <c r="C87" s="62" t="s">
        <v>16</v>
      </c>
      <c r="D87" s="63">
        <v>100</v>
      </c>
      <c r="E87" s="64">
        <v>98</v>
      </c>
      <c r="F87" s="64">
        <f t="shared" si="0"/>
        <v>19.6</v>
      </c>
      <c r="G87" s="64">
        <f t="shared" si="1"/>
        <v>1.3720000000000003</v>
      </c>
      <c r="H87" s="64">
        <f t="shared" si="2"/>
        <v>-9820.972</v>
      </c>
    </row>
    <row r="88" spans="2:8" ht="11.25">
      <c r="B88" s="62" t="s">
        <v>104</v>
      </c>
      <c r="C88" s="62" t="s">
        <v>16</v>
      </c>
      <c r="D88" s="63">
        <v>100</v>
      </c>
      <c r="E88" s="64">
        <v>92.5</v>
      </c>
      <c r="F88" s="64">
        <f t="shared" si="0"/>
        <v>18.5</v>
      </c>
      <c r="G88" s="64">
        <f t="shared" si="1"/>
        <v>1.2950000000000002</v>
      </c>
      <c r="H88" s="64">
        <f t="shared" si="2"/>
        <v>-9269.795</v>
      </c>
    </row>
    <row r="89" spans="2:8" ht="11.25">
      <c r="B89" s="62" t="s">
        <v>104</v>
      </c>
      <c r="C89" s="62" t="s">
        <v>37</v>
      </c>
      <c r="D89" s="63">
        <v>100</v>
      </c>
      <c r="E89" s="64">
        <v>93.5</v>
      </c>
      <c r="F89" s="64">
        <f t="shared" si="0"/>
        <v>18.7</v>
      </c>
      <c r="G89" s="64">
        <f t="shared" si="1"/>
        <v>1.3090000000000002</v>
      </c>
      <c r="H89" s="64">
        <f t="shared" si="2"/>
        <v>9329.991</v>
      </c>
    </row>
    <row r="90" spans="2:8" ht="11.25">
      <c r="B90" s="62" t="s">
        <v>30</v>
      </c>
      <c r="C90" s="62" t="s">
        <v>37</v>
      </c>
      <c r="D90" s="63">
        <v>400</v>
      </c>
      <c r="E90" s="64">
        <v>23.5</v>
      </c>
      <c r="F90" s="64">
        <f t="shared" si="0"/>
        <v>18.8</v>
      </c>
      <c r="G90" s="64">
        <f t="shared" si="1"/>
        <v>1.3160000000000003</v>
      </c>
      <c r="H90" s="64">
        <f t="shared" si="2"/>
        <v>9379.884</v>
      </c>
    </row>
    <row r="91" spans="1:8" ht="12" thickBot="1">
      <c r="A91" s="65"/>
      <c r="B91" s="65"/>
      <c r="C91" s="65"/>
      <c r="D91" s="66"/>
      <c r="E91" s="67"/>
      <c r="F91" s="67"/>
      <c r="G91" s="72" t="s">
        <v>14</v>
      </c>
      <c r="H91" s="72">
        <f>SUM(H87:H90)</f>
        <v>-380.8919999999998</v>
      </c>
    </row>
    <row r="92" spans="1:8" ht="11.25">
      <c r="A92" s="62" t="s">
        <v>121</v>
      </c>
      <c r="B92" s="62" t="s">
        <v>104</v>
      </c>
      <c r="C92" s="62" t="s">
        <v>16</v>
      </c>
      <c r="D92" s="63">
        <v>100</v>
      </c>
      <c r="E92" s="64">
        <v>95</v>
      </c>
      <c r="F92" s="64">
        <f t="shared" si="0"/>
        <v>19</v>
      </c>
      <c r="G92" s="64">
        <f t="shared" si="1"/>
        <v>1.33</v>
      </c>
      <c r="H92" s="64">
        <f>IF($C92="BUY",(($D92*$E92)+$F92+$G92)*(-1),IF($C92="SELL",($D92*$E92)-$F92-$G92))</f>
        <v>-9520.33</v>
      </c>
    </row>
    <row r="93" spans="1:8" ht="12" thickBot="1">
      <c r="A93" s="65"/>
      <c r="B93" s="65"/>
      <c r="C93" s="65"/>
      <c r="D93" s="66"/>
      <c r="E93" s="67"/>
      <c r="F93" s="67"/>
      <c r="G93" s="72" t="s">
        <v>14</v>
      </c>
      <c r="H93" s="72">
        <f>H92</f>
        <v>-9520.33</v>
      </c>
    </row>
    <row r="94" spans="1:8" ht="11.25">
      <c r="A94" s="62" t="s">
        <v>123</v>
      </c>
      <c r="B94" s="62" t="s">
        <v>104</v>
      </c>
      <c r="C94" s="62" t="s">
        <v>37</v>
      </c>
      <c r="D94" s="63">
        <v>200</v>
      </c>
      <c r="E94" s="64">
        <v>97.5</v>
      </c>
      <c r="F94" s="64">
        <f t="shared" si="0"/>
        <v>39</v>
      </c>
      <c r="G94" s="64">
        <f t="shared" si="1"/>
        <v>2.7300000000000004</v>
      </c>
      <c r="H94" s="64">
        <f>IF($C94="BUY",(($D94*$E94)+$F94+$G94)*(-1),IF($C94="SELL",($D94*$E94)-$F94-$G94))</f>
        <v>19458.27</v>
      </c>
    </row>
    <row r="95" spans="2:8" ht="11.25">
      <c r="B95" s="62" t="s">
        <v>104</v>
      </c>
      <c r="C95" s="62" t="s">
        <v>37</v>
      </c>
      <c r="D95" s="63">
        <v>500</v>
      </c>
      <c r="E95" s="64">
        <v>99.5</v>
      </c>
      <c r="F95" s="64">
        <f t="shared" si="0"/>
        <v>99.5</v>
      </c>
      <c r="G95" s="64">
        <f t="shared" si="1"/>
        <v>6.965000000000001</v>
      </c>
      <c r="H95" s="64">
        <f>IF($C95="BUY",(($D95*$E95)+$F95+$G95)*(-1),IF($C95="SELL",($D95*$E95)-$F95-$G95))</f>
        <v>49643.535</v>
      </c>
    </row>
    <row r="96" spans="1:8" ht="12" thickBot="1">
      <c r="A96" s="65"/>
      <c r="B96" s="65"/>
      <c r="C96" s="65"/>
      <c r="D96" s="66"/>
      <c r="E96" s="67"/>
      <c r="F96" s="67"/>
      <c r="G96" s="73" t="s">
        <v>38</v>
      </c>
      <c r="H96" s="73">
        <f>SUM(H94:H95)</f>
        <v>69101.80500000001</v>
      </c>
    </row>
    <row r="97" spans="1:11" ht="11.25">
      <c r="A97" s="62" t="s">
        <v>124</v>
      </c>
      <c r="B97" s="62" t="s">
        <v>104</v>
      </c>
      <c r="C97" s="62" t="s">
        <v>37</v>
      </c>
      <c r="D97" s="63">
        <v>300</v>
      </c>
      <c r="E97" s="64">
        <v>108</v>
      </c>
      <c r="F97" s="64">
        <f t="shared" si="0"/>
        <v>64.8</v>
      </c>
      <c r="G97" s="64">
        <f t="shared" si="1"/>
        <v>4.5360000000000005</v>
      </c>
      <c r="H97" s="64">
        <f>IF($C97="BUY",(($D97*$E97)+$F97+$G97)*(-1),IF($C97="SELL",($D97*$E97)-$F97-$G97))</f>
        <v>32330.664</v>
      </c>
      <c r="J97" s="77">
        <f>SUM(H81:H83,H87:H89,H92,H94:H95,H97)</f>
        <v>-1026.2569999999869</v>
      </c>
      <c r="K97" s="69"/>
    </row>
    <row r="98" spans="1:8" ht="12" thickBot="1">
      <c r="A98" s="65"/>
      <c r="B98" s="65"/>
      <c r="C98" s="65"/>
      <c r="D98" s="66"/>
      <c r="E98" s="67"/>
      <c r="F98" s="67"/>
      <c r="G98" s="73" t="s">
        <v>38</v>
      </c>
      <c r="H98" s="73">
        <f>H97</f>
        <v>32330.664</v>
      </c>
    </row>
    <row r="99" spans="1:8" ht="11.25">
      <c r="A99" s="62" t="s">
        <v>135</v>
      </c>
      <c r="B99" s="62" t="s">
        <v>134</v>
      </c>
      <c r="C99" s="62" t="s">
        <v>16</v>
      </c>
      <c r="D99" s="63">
        <v>1000</v>
      </c>
      <c r="E99" s="64">
        <v>35.25</v>
      </c>
      <c r="F99" s="64">
        <f t="shared" si="0"/>
        <v>70.5</v>
      </c>
      <c r="G99" s="64">
        <f t="shared" si="1"/>
        <v>4.9350000000000005</v>
      </c>
      <c r="H99" s="64">
        <f>IF($C99="BUY",(($D99*$E99)+$F99+$G99)*(-1),IF($C99="SELL",($D99*$E99)-$F99-$G99))</f>
        <v>-35325.435</v>
      </c>
    </row>
    <row r="100" spans="1:8" ht="12" thickBot="1">
      <c r="A100" s="65"/>
      <c r="B100" s="65"/>
      <c r="C100" s="65"/>
      <c r="D100" s="66"/>
      <c r="E100" s="67"/>
      <c r="F100" s="67"/>
      <c r="G100" s="72" t="s">
        <v>14</v>
      </c>
      <c r="H100" s="72">
        <f>H99</f>
        <v>-35325.435</v>
      </c>
    </row>
    <row r="101" spans="1:10" ht="11.25">
      <c r="A101" s="62" t="s">
        <v>139</v>
      </c>
      <c r="B101" s="62" t="s">
        <v>134</v>
      </c>
      <c r="C101" s="62" t="s">
        <v>37</v>
      </c>
      <c r="D101" s="63">
        <v>1000</v>
      </c>
      <c r="E101" s="64">
        <v>36.5</v>
      </c>
      <c r="F101" s="64">
        <f t="shared" si="0"/>
        <v>73</v>
      </c>
      <c r="G101" s="64">
        <f t="shared" si="1"/>
        <v>5.11</v>
      </c>
      <c r="H101" s="64">
        <f>IF($C101="BUY",(($D101*$E101)+$F101+$G101)*(-1),IF($C101="SELL",($D101*$E101)-$F101-$G101))</f>
        <v>36421.89</v>
      </c>
      <c r="J101" s="70">
        <f>SUM(H99,H101)</f>
        <v>1096.4550000000017</v>
      </c>
    </row>
    <row r="102" spans="1:8" ht="12" thickBot="1">
      <c r="A102" s="65"/>
      <c r="B102" s="65"/>
      <c r="C102" s="65"/>
      <c r="D102" s="66"/>
      <c r="E102" s="67"/>
      <c r="F102" s="67"/>
      <c r="G102" s="73" t="s">
        <v>38</v>
      </c>
      <c r="H102" s="73">
        <f>H101</f>
        <v>36421.89</v>
      </c>
    </row>
    <row r="103" spans="1:8" ht="11.25">
      <c r="A103" s="62" t="s">
        <v>141</v>
      </c>
      <c r="B103" s="62" t="s">
        <v>142</v>
      </c>
      <c r="C103" s="62" t="s">
        <v>16</v>
      </c>
      <c r="D103" s="63">
        <v>1000</v>
      </c>
      <c r="E103" s="64">
        <v>35.75</v>
      </c>
      <c r="F103" s="64">
        <f t="shared" si="0"/>
        <v>71.5</v>
      </c>
      <c r="G103" s="64">
        <f t="shared" si="1"/>
        <v>5.005000000000001</v>
      </c>
      <c r="H103" s="64">
        <f>IF($C103="BUY",(($D103*$E103)+$F103+$G103)*(-1),IF($C103="SELL",($D103*$E103)-$F103-$G103))</f>
        <v>-35826.505</v>
      </c>
    </row>
    <row r="104" spans="1:8" ht="12" thickBot="1">
      <c r="A104" s="65"/>
      <c r="B104" s="65"/>
      <c r="C104" s="65"/>
      <c r="D104" s="66"/>
      <c r="E104" s="67"/>
      <c r="F104" s="67"/>
      <c r="G104" s="72" t="s">
        <v>14</v>
      </c>
      <c r="H104" s="72">
        <f>H103</f>
        <v>-35826.505</v>
      </c>
    </row>
    <row r="105" spans="1:8" ht="11.25">
      <c r="A105" s="62" t="s">
        <v>151</v>
      </c>
      <c r="B105" s="62" t="s">
        <v>142</v>
      </c>
      <c r="C105" s="62" t="s">
        <v>16</v>
      </c>
      <c r="D105" s="63">
        <v>400</v>
      </c>
      <c r="E105" s="64">
        <v>36</v>
      </c>
      <c r="F105" s="64">
        <f t="shared" si="0"/>
        <v>28.8</v>
      </c>
      <c r="G105" s="64">
        <f t="shared" si="1"/>
        <v>2.0160000000000005</v>
      </c>
      <c r="H105" s="64">
        <f>IF($C105="BUY",(($D105*$E105)+$F105+$G105)*(-1),IF($C105="SELL",($D105*$E105)-$F105-$G105))</f>
        <v>-14430.815999999999</v>
      </c>
    </row>
    <row r="106" spans="2:8" ht="11.25">
      <c r="B106" s="62" t="s">
        <v>152</v>
      </c>
      <c r="C106" s="62" t="s">
        <v>16</v>
      </c>
      <c r="D106" s="63">
        <v>1000</v>
      </c>
      <c r="E106" s="64">
        <v>23.8</v>
      </c>
      <c r="F106" s="64">
        <f t="shared" si="0"/>
        <v>47.6</v>
      </c>
      <c r="G106" s="64">
        <f t="shared" si="1"/>
        <v>3.3320000000000003</v>
      </c>
      <c r="H106" s="64">
        <f>IF($C106="BUY",(($D106*$E106)+$F106+$G106)*(-1),IF($C106="SELL",($D106*$E106)-$F106-$G106))</f>
        <v>-23850.931999999997</v>
      </c>
    </row>
    <row r="107" spans="2:8" ht="11.25">
      <c r="B107" s="62" t="s">
        <v>103</v>
      </c>
      <c r="C107" s="62" t="s">
        <v>16</v>
      </c>
      <c r="D107" s="63">
        <v>6000</v>
      </c>
      <c r="E107" s="64">
        <v>4.26</v>
      </c>
      <c r="F107" s="64">
        <f t="shared" si="0"/>
        <v>51.120000000000005</v>
      </c>
      <c r="G107" s="64">
        <f t="shared" si="1"/>
        <v>3.5784000000000007</v>
      </c>
      <c r="H107" s="64">
        <f>IF($C107="BUY",(($D107*$E107)+$F107+$G107)*(-1),IF($C107="SELL",($D107*$E107)-$F107-$G107))</f>
        <v>-25614.698399999997</v>
      </c>
    </row>
    <row r="108" spans="1:8" ht="12" thickBot="1">
      <c r="A108" s="65"/>
      <c r="B108" s="65"/>
      <c r="C108" s="65"/>
      <c r="D108" s="66"/>
      <c r="E108" s="67"/>
      <c r="F108" s="67"/>
      <c r="G108" s="72" t="s">
        <v>14</v>
      </c>
      <c r="H108" s="72">
        <f>SUM(H105:H107)</f>
        <v>-63896.446399999986</v>
      </c>
    </row>
    <row r="109" spans="1:10" ht="11.25">
      <c r="A109" s="62" t="s">
        <v>156</v>
      </c>
      <c r="B109" s="62" t="s">
        <v>103</v>
      </c>
      <c r="C109" s="62" t="s">
        <v>37</v>
      </c>
      <c r="D109" s="63">
        <v>6000</v>
      </c>
      <c r="E109" s="64">
        <v>4.38</v>
      </c>
      <c r="F109" s="64">
        <f t="shared" si="0"/>
        <v>52.56</v>
      </c>
      <c r="G109" s="64">
        <f t="shared" si="1"/>
        <v>3.6792000000000007</v>
      </c>
      <c r="H109" s="64">
        <f aca="true" t="shared" si="3" ref="H109:H119">IF($C109="BUY",(($D109*$E109)+$F109+$G109)*(-1),IF($C109="SELL",($D109*$E109)-$F109-$G109))</f>
        <v>26223.7608</v>
      </c>
      <c r="J109" s="70">
        <f>SUM(H107,H109)</f>
        <v>609.0624000000025</v>
      </c>
    </row>
    <row r="110" spans="2:8" ht="11.25">
      <c r="B110" s="62" t="s">
        <v>157</v>
      </c>
      <c r="C110" s="62" t="s">
        <v>16</v>
      </c>
      <c r="D110" s="63">
        <v>1000</v>
      </c>
      <c r="E110" s="64">
        <v>10.8</v>
      </c>
      <c r="F110" s="64">
        <f t="shared" si="0"/>
        <v>21.6</v>
      </c>
      <c r="G110" s="64">
        <f t="shared" si="1"/>
        <v>1.5120000000000002</v>
      </c>
      <c r="H110" s="64">
        <f t="shared" si="3"/>
        <v>-10823.112000000001</v>
      </c>
    </row>
    <row r="111" spans="2:8" ht="11.25">
      <c r="B111" s="62" t="s">
        <v>157</v>
      </c>
      <c r="C111" s="62" t="s">
        <v>16</v>
      </c>
      <c r="D111" s="63">
        <v>2500</v>
      </c>
      <c r="E111" s="64">
        <v>10.7</v>
      </c>
      <c r="F111" s="64">
        <f t="shared" si="0"/>
        <v>53.5</v>
      </c>
      <c r="G111" s="64">
        <f t="shared" si="1"/>
        <v>3.7450000000000006</v>
      </c>
      <c r="H111" s="64">
        <f t="shared" si="3"/>
        <v>-26807.245</v>
      </c>
    </row>
    <row r="112" spans="2:8" ht="11.25">
      <c r="B112" s="62" t="s">
        <v>157</v>
      </c>
      <c r="C112" s="62" t="s">
        <v>16</v>
      </c>
      <c r="D112" s="63">
        <v>1500</v>
      </c>
      <c r="E112" s="64">
        <v>10.6</v>
      </c>
      <c r="F112" s="64">
        <f t="shared" si="0"/>
        <v>31.8</v>
      </c>
      <c r="G112" s="64">
        <f t="shared" si="1"/>
        <v>2.2260000000000004</v>
      </c>
      <c r="H112" s="64">
        <f t="shared" si="3"/>
        <v>-15934.026</v>
      </c>
    </row>
    <row r="113" spans="2:10" ht="11.25">
      <c r="B113" s="62" t="s">
        <v>142</v>
      </c>
      <c r="C113" s="62" t="s">
        <v>37</v>
      </c>
      <c r="D113" s="63">
        <v>400</v>
      </c>
      <c r="E113" s="64">
        <v>37.25</v>
      </c>
      <c r="F113" s="64">
        <f t="shared" si="0"/>
        <v>29.8</v>
      </c>
      <c r="G113" s="64">
        <f t="shared" si="1"/>
        <v>2.0860000000000003</v>
      </c>
      <c r="H113" s="64">
        <f t="shared" si="3"/>
        <v>14868.114000000001</v>
      </c>
      <c r="J113" s="76">
        <f>SUM(H105,H113)</f>
        <v>437.2980000000025</v>
      </c>
    </row>
    <row r="114" spans="2:8" ht="11.25">
      <c r="B114" s="62" t="s">
        <v>158</v>
      </c>
      <c r="C114" s="62" t="s">
        <v>16</v>
      </c>
      <c r="D114" s="63">
        <v>3000</v>
      </c>
      <c r="E114" s="64">
        <v>3.7</v>
      </c>
      <c r="F114" s="64">
        <f t="shared" si="0"/>
        <v>22.2</v>
      </c>
      <c r="G114" s="64">
        <f t="shared" si="1"/>
        <v>1.554</v>
      </c>
      <c r="H114" s="64">
        <f t="shared" si="3"/>
        <v>-11123.754</v>
      </c>
    </row>
    <row r="115" spans="2:10" ht="11.25">
      <c r="B115" s="62" t="s">
        <v>157</v>
      </c>
      <c r="C115" s="62" t="s">
        <v>37</v>
      </c>
      <c r="D115" s="63">
        <v>1500</v>
      </c>
      <c r="E115" s="64">
        <v>10.7</v>
      </c>
      <c r="F115" s="64">
        <f t="shared" si="0"/>
        <v>32.099999999999994</v>
      </c>
      <c r="G115" s="64">
        <f t="shared" si="1"/>
        <v>2.247</v>
      </c>
      <c r="H115" s="64">
        <f t="shared" si="3"/>
        <v>16015.652999999998</v>
      </c>
      <c r="J115" s="70">
        <f>SUM(H112,H115)</f>
        <v>81.62699999999859</v>
      </c>
    </row>
    <row r="116" spans="1:8" ht="12" thickBot="1">
      <c r="A116" s="65"/>
      <c r="B116" s="65"/>
      <c r="C116" s="65"/>
      <c r="D116" s="66"/>
      <c r="E116" s="67"/>
      <c r="F116" s="67"/>
      <c r="G116" s="72" t="s">
        <v>14</v>
      </c>
      <c r="H116" s="72">
        <f>SUM(H109:H115)</f>
        <v>-7580.609199999999</v>
      </c>
    </row>
    <row r="117" spans="1:8" ht="11.25">
      <c r="A117" s="78" t="s">
        <v>161</v>
      </c>
      <c r="B117" s="62" t="s">
        <v>152</v>
      </c>
      <c r="C117" s="62" t="s">
        <v>37</v>
      </c>
      <c r="D117" s="63">
        <v>500</v>
      </c>
      <c r="E117" s="64">
        <v>23.8</v>
      </c>
      <c r="F117" s="64">
        <f t="shared" si="0"/>
        <v>23.8</v>
      </c>
      <c r="G117" s="64">
        <f t="shared" si="1"/>
        <v>1.6660000000000001</v>
      </c>
      <c r="H117" s="64">
        <f t="shared" si="3"/>
        <v>11874.534000000001</v>
      </c>
    </row>
    <row r="118" spans="2:8" ht="11.25">
      <c r="B118" s="62" t="s">
        <v>158</v>
      </c>
      <c r="C118" s="62" t="s">
        <v>37</v>
      </c>
      <c r="D118" s="63">
        <v>2000</v>
      </c>
      <c r="E118" s="64">
        <v>3.64</v>
      </c>
      <c r="F118" s="64">
        <f t="shared" si="0"/>
        <v>14.56</v>
      </c>
      <c r="G118" s="64">
        <f t="shared" si="1"/>
        <v>1.0192</v>
      </c>
      <c r="H118" s="64">
        <f t="shared" si="3"/>
        <v>7264.4208</v>
      </c>
    </row>
    <row r="119" spans="2:10" ht="11.25">
      <c r="B119" s="79" t="s">
        <v>157</v>
      </c>
      <c r="C119" s="79" t="s">
        <v>16</v>
      </c>
      <c r="D119" s="80">
        <v>5000</v>
      </c>
      <c r="E119" s="81">
        <v>10.1</v>
      </c>
      <c r="F119" s="81">
        <f>($D119*$E119)*0.0025</f>
        <v>126.25</v>
      </c>
      <c r="G119" s="81">
        <f t="shared" si="1"/>
        <v>8.8375</v>
      </c>
      <c r="H119" s="81">
        <f t="shared" si="3"/>
        <v>-50635.0875</v>
      </c>
      <c r="J119" s="69"/>
    </row>
    <row r="120" spans="1:8" ht="12" thickBot="1">
      <c r="A120" s="65"/>
      <c r="B120" s="65"/>
      <c r="C120" s="65"/>
      <c r="D120" s="66"/>
      <c r="E120" s="67"/>
      <c r="F120" s="67"/>
      <c r="G120" s="72" t="s">
        <v>14</v>
      </c>
      <c r="H120" s="72">
        <f>SUM(H117:H119)-((50*1.07)-SUM(F117,G117,F118,G118))</f>
        <v>-31508.5875</v>
      </c>
    </row>
    <row r="121" spans="1:8" ht="11.25">
      <c r="A121" s="62" t="s">
        <v>162</v>
      </c>
      <c r="B121" s="62" t="s">
        <v>142</v>
      </c>
      <c r="C121" s="62" t="s">
        <v>37</v>
      </c>
      <c r="D121" s="63">
        <v>1000</v>
      </c>
      <c r="E121" s="64">
        <v>37</v>
      </c>
      <c r="F121" s="64">
        <f>($D121*$E121)*0.002</f>
        <v>74</v>
      </c>
      <c r="G121" s="64">
        <f t="shared" si="1"/>
        <v>5.180000000000001</v>
      </c>
      <c r="H121" s="64">
        <f>IF($C121="BUY",(($D121*$E121)+$F121+$G121)*(-1),IF($C121="SELL",($D121*$E121)-$F121-$G121))</f>
        <v>36920.82</v>
      </c>
    </row>
    <row r="122" spans="2:10" ht="11.25">
      <c r="B122" s="62" t="s">
        <v>157</v>
      </c>
      <c r="C122" s="62" t="s">
        <v>37</v>
      </c>
      <c r="D122" s="63">
        <v>3500</v>
      </c>
      <c r="E122" s="64">
        <v>9.55</v>
      </c>
      <c r="F122" s="64">
        <f>($D122*$E122)*0.002</f>
        <v>66.85</v>
      </c>
      <c r="G122" s="64">
        <f t="shared" si="1"/>
        <v>4.6795</v>
      </c>
      <c r="H122" s="64">
        <f>IF($C122="BUY",(($D122*$E122)+$F122+$G122)*(-1),IF($C122="SELL",($D122*$E122)-$F122-$G122))</f>
        <v>33353.4705</v>
      </c>
      <c r="J122" s="77">
        <f>SUM(H110:H111,H122)</f>
        <v>-4276.8865000000005</v>
      </c>
    </row>
    <row r="123" spans="2:8" ht="11.25">
      <c r="B123" s="62" t="s">
        <v>164</v>
      </c>
      <c r="C123" s="62" t="s">
        <v>16</v>
      </c>
      <c r="D123" s="63">
        <v>2400</v>
      </c>
      <c r="E123" s="64">
        <v>7.15</v>
      </c>
      <c r="F123" s="64">
        <f>($D123*$E123)*0.002</f>
        <v>34.32</v>
      </c>
      <c r="G123" s="64">
        <f t="shared" si="1"/>
        <v>2.4024</v>
      </c>
      <c r="H123" s="64">
        <f>IF($C123="BUY",(($D123*$E123)+$F123+$G123)*(-1),IF($C123="SELL",($D123*$E123)-$F123-$G123))</f>
        <v>-17196.7224</v>
      </c>
    </row>
    <row r="124" spans="1:8" ht="12" thickBot="1">
      <c r="A124" s="65"/>
      <c r="B124" s="65"/>
      <c r="C124" s="65"/>
      <c r="D124" s="66"/>
      <c r="E124" s="67"/>
      <c r="F124" s="67"/>
      <c r="G124" s="73" t="s">
        <v>38</v>
      </c>
      <c r="H124" s="73">
        <f>SUM(H121:H123)</f>
        <v>53077.568100000004</v>
      </c>
    </row>
    <row r="125" spans="1:8" ht="11.25">
      <c r="A125" s="62" t="s">
        <v>165</v>
      </c>
      <c r="B125" s="62" t="s">
        <v>142</v>
      </c>
      <c r="C125" s="62" t="s">
        <v>16</v>
      </c>
      <c r="D125" s="63">
        <v>1000</v>
      </c>
      <c r="E125" s="64">
        <v>36.5</v>
      </c>
      <c r="F125" s="64">
        <f>($D125*$E125)*0.002</f>
        <v>73</v>
      </c>
      <c r="G125" s="64">
        <f t="shared" si="1"/>
        <v>5.11</v>
      </c>
      <c r="H125" s="64">
        <f>IF($C125="BUY",(($D125*$E125)+$F125+$G125)*(-1),IF($C125="SELL",($D125*$E125)-$F125-$G125))</f>
        <v>-36578.11</v>
      </c>
    </row>
    <row r="126" spans="1:8" ht="12" thickBot="1">
      <c r="A126" s="65"/>
      <c r="B126" s="65"/>
      <c r="C126" s="65"/>
      <c r="D126" s="66"/>
      <c r="E126" s="67"/>
      <c r="F126" s="67"/>
      <c r="G126" s="72" t="s">
        <v>14</v>
      </c>
      <c r="H126" s="72">
        <f>H125</f>
        <v>-36578.11</v>
      </c>
    </row>
    <row r="127" spans="1:8" ht="11.25">
      <c r="A127" s="62" t="s">
        <v>167</v>
      </c>
      <c r="B127" s="62" t="s">
        <v>142</v>
      </c>
      <c r="C127" s="62" t="s">
        <v>16</v>
      </c>
      <c r="D127" s="63">
        <v>500</v>
      </c>
      <c r="E127" s="64">
        <v>36.5</v>
      </c>
      <c r="F127" s="64">
        <f>($D127*$E127)*0.002</f>
        <v>36.5</v>
      </c>
      <c r="G127" s="64">
        <f t="shared" si="1"/>
        <v>2.555</v>
      </c>
      <c r="H127" s="64">
        <f>IF($C127="BUY",(($D127*$E127)+$F127+$G127)*(-1),IF($C127="SELL",($D127*$E127)-$F127-$G127))</f>
        <v>-18289.055</v>
      </c>
    </row>
    <row r="128" spans="2:10" ht="11.25">
      <c r="B128" s="62" t="s">
        <v>164</v>
      </c>
      <c r="C128" s="62" t="s">
        <v>37</v>
      </c>
      <c r="D128" s="63">
        <v>2400</v>
      </c>
      <c r="E128" s="64">
        <v>7.35</v>
      </c>
      <c r="F128" s="64">
        <f>($D128*$E128)*0.002</f>
        <v>35.28</v>
      </c>
      <c r="G128" s="64">
        <f t="shared" si="1"/>
        <v>2.4696000000000002</v>
      </c>
      <c r="H128" s="64">
        <f>IF($C128="BUY",(($D128*$E128)+$F128+$G128)*(-1),IF($C128="SELL",($D128*$E128)-$F128-$G128))</f>
        <v>17602.2504</v>
      </c>
      <c r="J128" s="70">
        <f>SUM(H123,H128)</f>
        <v>405.52800000000207</v>
      </c>
    </row>
    <row r="129" spans="2:8" ht="11.25">
      <c r="B129" s="62" t="s">
        <v>168</v>
      </c>
      <c r="C129" s="62" t="s">
        <v>16</v>
      </c>
      <c r="D129" s="63">
        <v>5000</v>
      </c>
      <c r="E129" s="64">
        <v>4.94</v>
      </c>
      <c r="F129" s="64">
        <f>($D129*$E129)*0.002</f>
        <v>49.400000000000006</v>
      </c>
      <c r="G129" s="64">
        <f t="shared" si="1"/>
        <v>3.4580000000000006</v>
      </c>
      <c r="H129" s="64">
        <f>IF($C129="BUY",(($D129*$E129)+$F129+$G129)*(-1),IF($C129="SELL",($D129*$E129)-$F129-$G129))</f>
        <v>-24752.858000000004</v>
      </c>
    </row>
    <row r="130" spans="2:8" ht="11.25">
      <c r="B130" s="62" t="s">
        <v>32</v>
      </c>
      <c r="C130" s="62" t="s">
        <v>16</v>
      </c>
      <c r="D130" s="63">
        <v>500</v>
      </c>
      <c r="E130" s="64">
        <v>37</v>
      </c>
      <c r="F130" s="64">
        <f>($D130*$E130)*0.002</f>
        <v>37</v>
      </c>
      <c r="G130" s="64">
        <f t="shared" si="1"/>
        <v>2.5900000000000003</v>
      </c>
      <c r="H130" s="64">
        <f>IF($C130="BUY",(($D130*$E130)+$F130+$G130)*(-1),IF($C130="SELL",($D130*$E130)-$F130-$G130))</f>
        <v>-18539.59</v>
      </c>
    </row>
    <row r="131" spans="1:8" ht="12" thickBot="1">
      <c r="A131" s="65"/>
      <c r="B131" s="65"/>
      <c r="C131" s="65"/>
      <c r="D131" s="66"/>
      <c r="E131" s="67"/>
      <c r="F131" s="67"/>
      <c r="G131" s="72" t="s">
        <v>14</v>
      </c>
      <c r="H131" s="72">
        <f>SUM(H127:H130)</f>
        <v>-43979.25260000001</v>
      </c>
    </row>
    <row r="132" spans="1:8" ht="11.25">
      <c r="A132" s="62" t="s">
        <v>172</v>
      </c>
      <c r="B132" s="62" t="s">
        <v>142</v>
      </c>
      <c r="C132" s="62" t="s">
        <v>37</v>
      </c>
      <c r="D132" s="63">
        <v>1000</v>
      </c>
      <c r="E132" s="64">
        <v>36</v>
      </c>
      <c r="F132" s="64">
        <f>($D132*$E132)*0.002</f>
        <v>72</v>
      </c>
      <c r="G132" s="64">
        <f t="shared" si="1"/>
        <v>5.040000000000001</v>
      </c>
      <c r="H132" s="64">
        <f>IF($C132="BUY",(($D132*$E132)+$F132+$G132)*(-1),IF($C132="SELL",($D132*$E132)-$F132-$G132))</f>
        <v>35922.96</v>
      </c>
    </row>
    <row r="133" spans="2:8" ht="11.25">
      <c r="B133" s="62" t="s">
        <v>142</v>
      </c>
      <c r="C133" s="62" t="s">
        <v>16</v>
      </c>
      <c r="D133" s="63">
        <v>1000</v>
      </c>
      <c r="E133" s="64">
        <v>34.25</v>
      </c>
      <c r="F133" s="64">
        <f>($D133*$E133)*0.002</f>
        <v>68.5</v>
      </c>
      <c r="G133" s="64">
        <f t="shared" si="1"/>
        <v>4.795000000000001</v>
      </c>
      <c r="H133" s="64">
        <f>IF($C133="BUY",(($D133*$E133)+$F133+$G133)*(-1),IF($C133="SELL",($D133*$E133)-$F133-$G133))</f>
        <v>-34323.295</v>
      </c>
    </row>
    <row r="134" spans="2:8" ht="11.25">
      <c r="B134" s="62" t="s">
        <v>168</v>
      </c>
      <c r="C134" s="62" t="s">
        <v>37</v>
      </c>
      <c r="D134" s="63">
        <v>3000</v>
      </c>
      <c r="E134" s="64">
        <v>4.48</v>
      </c>
      <c r="F134" s="64">
        <f>($D134*$E134)*0.002</f>
        <v>26.880000000000003</v>
      </c>
      <c r="G134" s="64">
        <f t="shared" si="1"/>
        <v>1.8816000000000004</v>
      </c>
      <c r="H134" s="64">
        <f>IF($C134="BUY",(($D134*$E134)+$F134+$G134)*(-1),IF($C134="SELL",($D134*$E134)-$F134-$G134))</f>
        <v>13411.238400000002</v>
      </c>
    </row>
    <row r="135" spans="1:8" ht="12" thickBot="1">
      <c r="A135" s="65"/>
      <c r="B135" s="65"/>
      <c r="C135" s="65"/>
      <c r="D135" s="66"/>
      <c r="E135" s="67"/>
      <c r="F135" s="67"/>
      <c r="G135" s="73" t="s">
        <v>38</v>
      </c>
      <c r="H135" s="73">
        <f>SUM(H132:H134)</f>
        <v>15010.903400000003</v>
      </c>
    </row>
    <row r="136" spans="1:10" ht="11.25">
      <c r="A136" s="62" t="s">
        <v>174</v>
      </c>
      <c r="B136" s="62" t="s">
        <v>168</v>
      </c>
      <c r="C136" s="62" t="s">
        <v>37</v>
      </c>
      <c r="D136" s="63">
        <v>2000</v>
      </c>
      <c r="E136" s="64">
        <v>4.12</v>
      </c>
      <c r="F136" s="64">
        <f>($D136*$E136)*0.002</f>
        <v>16.48</v>
      </c>
      <c r="G136" s="64">
        <f t="shared" si="1"/>
        <v>1.1536000000000002</v>
      </c>
      <c r="H136" s="64">
        <f>IF($C136="BUY",(($D136*$E136)+$F136+$G136)*(-1),IF($C136="SELL",($D136*$E136)-$F136-$G136))</f>
        <v>8222.3664</v>
      </c>
      <c r="J136" s="77">
        <f>SUM(H129,H134,H136)</f>
        <v>-3119.253200000001</v>
      </c>
    </row>
    <row r="137" spans="2:8" ht="11.25">
      <c r="B137" s="62" t="s">
        <v>152</v>
      </c>
      <c r="C137" s="62" t="s">
        <v>37</v>
      </c>
      <c r="D137" s="63">
        <v>500</v>
      </c>
      <c r="E137" s="64">
        <v>23</v>
      </c>
      <c r="F137" s="64">
        <f>($D137*$E137)*0.002</f>
        <v>23</v>
      </c>
      <c r="G137" s="64">
        <f t="shared" si="1"/>
        <v>1.61</v>
      </c>
      <c r="H137" s="64">
        <f>IF($C137="BUY",(($D137*$E137)+$F137+$G137)*(-1),IF($C137="SELL",($D137*$E137)-$F137-$G137))</f>
        <v>11475.39</v>
      </c>
    </row>
    <row r="138" spans="2:8" ht="11.25">
      <c r="B138" s="62" t="s">
        <v>158</v>
      </c>
      <c r="C138" s="62" t="s">
        <v>16</v>
      </c>
      <c r="D138" s="63">
        <v>9000</v>
      </c>
      <c r="E138" s="64">
        <v>3.7</v>
      </c>
      <c r="F138" s="64">
        <f>($D138*$E138)*0.002</f>
        <v>66.6</v>
      </c>
      <c r="G138" s="64">
        <f t="shared" si="1"/>
        <v>4.662</v>
      </c>
      <c r="H138" s="64">
        <f>IF($C138="BUY",(($D138*$E138)+$F138+$G138)*(-1),IF($C138="SELL",($D138*$E138)-$F138-$G138))</f>
        <v>-33371.261999999995</v>
      </c>
    </row>
    <row r="139" spans="1:8" ht="12" thickBot="1">
      <c r="A139" s="65"/>
      <c r="B139" s="65"/>
      <c r="C139" s="65"/>
      <c r="D139" s="66"/>
      <c r="E139" s="67"/>
      <c r="F139" s="67"/>
      <c r="G139" s="72" t="s">
        <v>14</v>
      </c>
      <c r="H139" s="72">
        <f>SUM(H136:H138)</f>
        <v>-13673.505599999997</v>
      </c>
    </row>
    <row r="140" spans="1:10" ht="11.25">
      <c r="A140" s="62" t="s">
        <v>176</v>
      </c>
      <c r="B140" s="82" t="s">
        <v>157</v>
      </c>
      <c r="C140" s="82" t="s">
        <v>37</v>
      </c>
      <c r="D140" s="83">
        <v>5000</v>
      </c>
      <c r="E140" s="84">
        <v>9.4</v>
      </c>
      <c r="F140" s="84">
        <f>($D140*$E140)*0.0025</f>
        <v>117.5</v>
      </c>
      <c r="G140" s="84">
        <f t="shared" si="1"/>
        <v>8.225000000000001</v>
      </c>
      <c r="H140" s="84">
        <f>IF($C140="BUY",(($D140*$E140)+$F140+$G140)*(-1),IF($C140="SELL",($D140*$E140)-$F140-$G140))</f>
        <v>46874.275</v>
      </c>
      <c r="J140" s="77">
        <f>SUM(H140,H119)</f>
        <v>-3760.8125</v>
      </c>
    </row>
    <row r="141" spans="1:8" ht="12" thickBot="1">
      <c r="A141" s="65"/>
      <c r="B141" s="65"/>
      <c r="C141" s="65"/>
      <c r="D141" s="66"/>
      <c r="E141" s="67"/>
      <c r="F141" s="67"/>
      <c r="G141" s="73" t="s">
        <v>38</v>
      </c>
      <c r="H141" s="73">
        <f>H140</f>
        <v>46874.275</v>
      </c>
    </row>
    <row r="142" spans="1:8" ht="11.25">
      <c r="A142" s="62" t="s">
        <v>179</v>
      </c>
      <c r="B142" s="62" t="s">
        <v>158</v>
      </c>
      <c r="C142" s="62" t="s">
        <v>16</v>
      </c>
      <c r="D142" s="63">
        <v>10000</v>
      </c>
      <c r="E142" s="64">
        <v>3.78</v>
      </c>
      <c r="F142" s="64">
        <f>($D142*$E142)*0.002</f>
        <v>75.60000000000001</v>
      </c>
      <c r="G142" s="64">
        <f t="shared" si="1"/>
        <v>5.292000000000001</v>
      </c>
      <c r="H142" s="64">
        <f>IF($C142="BUY",(($D142*$E142)+$F142+$G142)*(-1),IF($C142="SELL",($D142*$E142)-$F142-$G142))</f>
        <v>-37880.892</v>
      </c>
    </row>
    <row r="143" spans="1:8" ht="12" thickBot="1">
      <c r="A143" s="65"/>
      <c r="B143" s="65"/>
      <c r="C143" s="65"/>
      <c r="D143" s="66"/>
      <c r="E143" s="67"/>
      <c r="F143" s="67"/>
      <c r="G143" s="72" t="s">
        <v>14</v>
      </c>
      <c r="H143" s="72">
        <f>H142</f>
        <v>-37880.892</v>
      </c>
    </row>
    <row r="144" spans="1:10" ht="11.25">
      <c r="A144" s="62" t="s">
        <v>181</v>
      </c>
      <c r="B144" s="62" t="s">
        <v>32</v>
      </c>
      <c r="C144" s="62" t="s">
        <v>37</v>
      </c>
      <c r="D144" s="63">
        <v>500</v>
      </c>
      <c r="E144" s="64">
        <v>38.25</v>
      </c>
      <c r="F144" s="64">
        <f>($D144*$E144)*0.002</f>
        <v>38.25</v>
      </c>
      <c r="G144" s="64">
        <f t="shared" si="1"/>
        <v>2.6775</v>
      </c>
      <c r="H144" s="64">
        <f>IF($C144="BUY",(($D144*$E144)+$F144+$G144)*(-1),IF($C144="SELL",($D144*$E144)-$F144-$G144))</f>
        <v>19084.0725</v>
      </c>
      <c r="J144" s="70">
        <f>SUM(H130,H144)</f>
        <v>544.4824999999983</v>
      </c>
    </row>
    <row r="145" spans="2:8" ht="11.25">
      <c r="B145" s="62" t="s">
        <v>158</v>
      </c>
      <c r="C145" s="62" t="s">
        <v>16</v>
      </c>
      <c r="D145" s="63">
        <v>7000</v>
      </c>
      <c r="E145" s="64">
        <v>3.86</v>
      </c>
      <c r="F145" s="64">
        <f>($D145*$E145)*0.002</f>
        <v>54.04</v>
      </c>
      <c r="G145" s="64">
        <f t="shared" si="1"/>
        <v>3.7828000000000004</v>
      </c>
      <c r="H145" s="64">
        <f>IF($C145="BUY",(($D145*$E145)+$F145+$G145)*(-1),IF($C145="SELL",($D145*$E145)-$F145-$G145))</f>
        <v>-27077.8228</v>
      </c>
    </row>
    <row r="146" spans="2:8" ht="11.25">
      <c r="B146" s="62" t="s">
        <v>158</v>
      </c>
      <c r="C146" s="62" t="s">
        <v>37</v>
      </c>
      <c r="D146" s="63">
        <v>500</v>
      </c>
      <c r="E146" s="64">
        <v>3.84</v>
      </c>
      <c r="F146" s="64">
        <f>($D146*$E146)*0.002</f>
        <v>3.84</v>
      </c>
      <c r="G146" s="64">
        <f t="shared" si="1"/>
        <v>0.26880000000000004</v>
      </c>
      <c r="H146" s="64">
        <f>IF($C146="BUY",(($D146*$E146)+$F146+$G146)*(-1),IF($C146="SELL",($D146*$E146)-$F146-$G146))</f>
        <v>1915.8912</v>
      </c>
    </row>
    <row r="147" spans="1:8" ht="12" thickBot="1">
      <c r="A147" s="65"/>
      <c r="B147" s="65"/>
      <c r="C147" s="65"/>
      <c r="D147" s="66"/>
      <c r="E147" s="67"/>
      <c r="F147" s="67"/>
      <c r="G147" s="72" t="s">
        <v>14</v>
      </c>
      <c r="H147" s="72">
        <f>SUM(H144:H146)</f>
        <v>-6077.859100000003</v>
      </c>
    </row>
    <row r="148" spans="1:8" ht="11.25">
      <c r="A148" s="62" t="s">
        <v>186</v>
      </c>
      <c r="B148" s="62" t="s">
        <v>152</v>
      </c>
      <c r="C148" s="62" t="s">
        <v>16</v>
      </c>
      <c r="D148" s="63">
        <v>200</v>
      </c>
      <c r="E148" s="64">
        <v>22.8</v>
      </c>
      <c r="F148" s="64">
        <f>($D148*$E148)*0.002</f>
        <v>9.120000000000001</v>
      </c>
      <c r="G148" s="64">
        <f t="shared" si="1"/>
        <v>0.6384000000000001</v>
      </c>
      <c r="H148" s="64">
        <f>IF($C148="BUY",(($D148*$E148)+$F148+$G148)*(-1),IF($C148="SELL",($D148*$E148)-$F148-$G148))</f>
        <v>-4569.7584</v>
      </c>
    </row>
    <row r="149" spans="2:10" ht="11.25">
      <c r="B149" s="62" t="s">
        <v>152</v>
      </c>
      <c r="C149" s="62" t="s">
        <v>37</v>
      </c>
      <c r="D149" s="63">
        <v>200</v>
      </c>
      <c r="E149" s="64">
        <v>24</v>
      </c>
      <c r="F149" s="64">
        <f>($D149*$E149)*0.002</f>
        <v>9.6</v>
      </c>
      <c r="G149" s="64">
        <f>$F149*0.07</f>
        <v>0.672</v>
      </c>
      <c r="H149" s="64">
        <f>IF($C149="BUY",(($D149*$E149)+$F149+$G149)*(-1),IF($C149="SELL",($D149*$E149)-$F149-$G149))</f>
        <v>4789.728</v>
      </c>
      <c r="J149" s="70">
        <f>SUM(H148,H149)</f>
        <v>219.96960000000036</v>
      </c>
    </row>
    <row r="150" spans="2:8" ht="11.25">
      <c r="B150" s="62" t="s">
        <v>158</v>
      </c>
      <c r="C150" s="62" t="s">
        <v>37</v>
      </c>
      <c r="D150" s="63">
        <v>5000</v>
      </c>
      <c r="E150" s="64">
        <v>3.88</v>
      </c>
      <c r="F150" s="64">
        <f>($D150*$E150)*0.002</f>
        <v>38.800000000000004</v>
      </c>
      <c r="G150" s="64">
        <f>$F150*0.07</f>
        <v>2.7160000000000006</v>
      </c>
      <c r="H150" s="64">
        <f>IF($C150="BUY",(($D150*$E150)+$F150+$G150)*(-1),IF($C150="SELL",($D150*$E150)-$F150-$G150))</f>
        <v>19358.484</v>
      </c>
    </row>
    <row r="151" spans="2:10" ht="11.25">
      <c r="B151" s="62" t="s">
        <v>158</v>
      </c>
      <c r="C151" s="62" t="s">
        <v>37</v>
      </c>
      <c r="D151" s="63">
        <v>10000</v>
      </c>
      <c r="E151" s="64">
        <v>3.94</v>
      </c>
      <c r="F151" s="64">
        <f>($D151*$E151)*0.002</f>
        <v>78.8</v>
      </c>
      <c r="G151" s="64">
        <f>$F151*0.07</f>
        <v>5.516</v>
      </c>
      <c r="H151" s="64">
        <f>IF($C151="BUY",(($D151*$E151)+$F151+$G151)*(-1),IF($C151="SELL",($D151*$E151)-$F151-$G151))</f>
        <v>39315.683999999994</v>
      </c>
      <c r="J151" s="69"/>
    </row>
    <row r="152" spans="1:8" ht="12" thickBot="1">
      <c r="A152" s="65"/>
      <c r="B152" s="65"/>
      <c r="C152" s="65"/>
      <c r="D152" s="66"/>
      <c r="E152" s="67"/>
      <c r="F152" s="67"/>
      <c r="G152" s="73" t="s">
        <v>38</v>
      </c>
      <c r="H152" s="73">
        <f>SUM(H148:H151)</f>
        <v>58894.137599999995</v>
      </c>
    </row>
    <row r="153" spans="1:10" ht="11.25">
      <c r="A153" s="62" t="s">
        <v>187</v>
      </c>
      <c r="B153" s="62" t="s">
        <v>158</v>
      </c>
      <c r="C153" s="62" t="s">
        <v>37</v>
      </c>
      <c r="D153" s="63">
        <v>11500</v>
      </c>
      <c r="E153" s="64">
        <v>4.04</v>
      </c>
      <c r="F153" s="64">
        <f>($D153*$E153)*0.002</f>
        <v>92.92</v>
      </c>
      <c r="G153" s="64">
        <f>$F153*0.07</f>
        <v>6.5044</v>
      </c>
      <c r="H153" s="64">
        <f>IF($C153="BUY",(($D153*$E153)+$F153+$G153)*(-1),IF($C153="SELL",($D153*$E153)-$F153-$G153))</f>
        <v>46360.575600000004</v>
      </c>
      <c r="J153" s="70">
        <f>SUM(H114,H118,H138,H142,H145,H146,H150,H151,H153,)</f>
        <v>4761.324799999995</v>
      </c>
    </row>
    <row r="154" spans="2:8" ht="11.25">
      <c r="B154" s="62" t="s">
        <v>158</v>
      </c>
      <c r="C154" s="62" t="s">
        <v>16</v>
      </c>
      <c r="D154" s="63">
        <v>10000</v>
      </c>
      <c r="E154" s="64">
        <v>3.96</v>
      </c>
      <c r="F154" s="64">
        <f>($D154*$E154)*0.002</f>
        <v>79.2</v>
      </c>
      <c r="G154" s="64">
        <f>$F154*0.07</f>
        <v>5.5440000000000005</v>
      </c>
      <c r="H154" s="64">
        <f>IF($C154="BUY",(($D154*$E154)+$F154+$G154)*(-1),IF($C154="SELL",($D154*$E154)-$F154-$G154))</f>
        <v>-39684.744</v>
      </c>
    </row>
    <row r="155" spans="1:8" ht="12" thickBot="1">
      <c r="A155" s="65"/>
      <c r="B155" s="65"/>
      <c r="C155" s="65"/>
      <c r="D155" s="66"/>
      <c r="E155" s="67"/>
      <c r="F155" s="67"/>
      <c r="G155" s="73" t="s">
        <v>38</v>
      </c>
      <c r="H155" s="73">
        <f>SUM(H153:H154)</f>
        <v>6675.831600000005</v>
      </c>
    </row>
    <row r="156" spans="1:8" ht="11.25">
      <c r="A156" s="62" t="s">
        <v>188</v>
      </c>
      <c r="B156" s="62" t="s">
        <v>142</v>
      </c>
      <c r="C156" s="62" t="s">
        <v>16</v>
      </c>
      <c r="D156" s="63">
        <v>1000</v>
      </c>
      <c r="E156" s="64">
        <v>32</v>
      </c>
      <c r="F156" s="64">
        <f>($D156*$E156)*0.002</f>
        <v>64</v>
      </c>
      <c r="G156" s="64">
        <f>$F156*0.07</f>
        <v>4.48</v>
      </c>
      <c r="H156" s="64">
        <f>IF($C156="BUY",(($D156*$E156)+$F156+$G156)*(-1),IF($C156="SELL",($D156*$E156)-$F156-$G156))</f>
        <v>-32068.48</v>
      </c>
    </row>
    <row r="157" spans="1:8" ht="12" thickBot="1">
      <c r="A157" s="65"/>
      <c r="B157" s="65"/>
      <c r="C157" s="65"/>
      <c r="D157" s="66"/>
      <c r="E157" s="67"/>
      <c r="F157" s="67"/>
      <c r="G157" s="72" t="s">
        <v>14</v>
      </c>
      <c r="H157" s="72">
        <f>H156</f>
        <v>-32068.48</v>
      </c>
    </row>
    <row r="158" spans="1:8" ht="11.25">
      <c r="A158" s="62" t="s">
        <v>191</v>
      </c>
      <c r="B158" s="62" t="s">
        <v>142</v>
      </c>
      <c r="C158" s="62" t="s">
        <v>37</v>
      </c>
      <c r="D158" s="63">
        <v>2000</v>
      </c>
      <c r="E158" s="64">
        <v>31.75</v>
      </c>
      <c r="F158" s="64">
        <f>($D158*$E158)*0.002</f>
        <v>127</v>
      </c>
      <c r="G158" s="64">
        <f>$F158*0.07</f>
        <v>8.89</v>
      </c>
      <c r="H158" s="64">
        <f>IF($C158="BUY",(($D158*$E158)+$F158+$G158)*(-1),IF($C158="SELL",($D158*$E158)-$F158-$G158))</f>
        <v>63364.11</v>
      </c>
    </row>
    <row r="159" spans="2:10" ht="11.25">
      <c r="B159" s="62" t="s">
        <v>142</v>
      </c>
      <c r="C159" s="62" t="s">
        <v>37</v>
      </c>
      <c r="D159" s="63">
        <v>500</v>
      </c>
      <c r="E159" s="64">
        <v>32.25</v>
      </c>
      <c r="F159" s="64">
        <f>($D159*$E159)*0.002</f>
        <v>32.25</v>
      </c>
      <c r="G159" s="64">
        <f>$F159*0.07</f>
        <v>2.2575000000000003</v>
      </c>
      <c r="H159" s="64">
        <f>IF($C159="BUY",(($D159*$E159)+$F159+$G159)*(-1),IF($C159="SELL",($D159*$E159)-$F159-$G159))</f>
        <v>16090.4925</v>
      </c>
      <c r="J159" s="77">
        <f>SUM(H103,H121,H125,H127,H132,H133,H156,H158,H159,)</f>
        <v>-4787.062499999993</v>
      </c>
    </row>
    <row r="160" spans="2:10" ht="11.25">
      <c r="B160" s="62" t="s">
        <v>142</v>
      </c>
      <c r="C160" s="62" t="s">
        <v>16</v>
      </c>
      <c r="D160" s="63">
        <v>500</v>
      </c>
      <c r="E160" s="64">
        <v>32</v>
      </c>
      <c r="F160" s="64">
        <f>($D160*$E160)*0.002</f>
        <v>32</v>
      </c>
      <c r="G160" s="64">
        <f>$F160*0.07</f>
        <v>2.24</v>
      </c>
      <c r="H160" s="64">
        <f>IF($C160="BUY",(($D160*$E160)+$F160+$G160)*(-1),IF($C160="SELL",($D160*$E160)-$F160-$G160))</f>
        <v>-16034.24</v>
      </c>
      <c r="J160" s="69"/>
    </row>
    <row r="161" spans="1:8" ht="12" thickBot="1">
      <c r="A161" s="65"/>
      <c r="B161" s="65"/>
      <c r="C161" s="65"/>
      <c r="D161" s="66"/>
      <c r="E161" s="67"/>
      <c r="F161" s="67"/>
      <c r="G161" s="73" t="s">
        <v>38</v>
      </c>
      <c r="H161" s="73">
        <f>SUM(H158:H160)</f>
        <v>63420.36250000001</v>
      </c>
    </row>
    <row r="162" spans="1:10" ht="11.25">
      <c r="A162" s="62" t="s">
        <v>194</v>
      </c>
      <c r="B162" s="62" t="s">
        <v>142</v>
      </c>
      <c r="C162" s="62" t="s">
        <v>37</v>
      </c>
      <c r="D162" s="63">
        <v>500</v>
      </c>
      <c r="E162" s="64">
        <v>30.5</v>
      </c>
      <c r="F162" s="64">
        <f>($D162*$E162)*0.002</f>
        <v>30.5</v>
      </c>
      <c r="G162" s="64">
        <f>$F162*0.07</f>
        <v>2.1350000000000002</v>
      </c>
      <c r="H162" s="64">
        <f>IF($C162="BUY",(($D162*$E162)+$F162+$G162)*(-1),IF($C162="SELL",($D162*$E162)-$F162-$G162))</f>
        <v>15217.365</v>
      </c>
      <c r="J162" s="77">
        <f>SUM(H160,H162)</f>
        <v>-816.875</v>
      </c>
    </row>
    <row r="163" spans="2:8" ht="11.25">
      <c r="B163" s="62" t="s">
        <v>158</v>
      </c>
      <c r="C163" s="62" t="s">
        <v>37</v>
      </c>
      <c r="D163" s="63">
        <v>5000</v>
      </c>
      <c r="E163" s="64">
        <v>3.74</v>
      </c>
      <c r="F163" s="64">
        <f>($D163*$E163)*0.002</f>
        <v>37.4</v>
      </c>
      <c r="G163" s="64">
        <f>$F163*0.07</f>
        <v>2.6180000000000003</v>
      </c>
      <c r="H163" s="64">
        <f>IF($C163="BUY",(($D163*$E163)+$F163+$G163)*(-1),IF($C163="SELL",($D163*$E163)-$F163-$G163))</f>
        <v>18659.982</v>
      </c>
    </row>
    <row r="164" spans="2:10" ht="11.25">
      <c r="B164" s="62" t="s">
        <v>158</v>
      </c>
      <c r="C164" s="62" t="s">
        <v>37</v>
      </c>
      <c r="D164" s="63">
        <v>5000</v>
      </c>
      <c r="E164" s="64">
        <v>3.7</v>
      </c>
      <c r="F164" s="64">
        <f>($D164*$E164)*0.002</f>
        <v>37</v>
      </c>
      <c r="G164" s="64">
        <f>$F164*0.07</f>
        <v>2.5900000000000003</v>
      </c>
      <c r="H164" s="64">
        <f>IF($C164="BUY",(($D164*$E164)+$F164+$G164)*(-1),IF($C164="SELL",($D164*$E164)-$F164-$G164))</f>
        <v>18460.41</v>
      </c>
      <c r="J164" s="77">
        <f>SUM(H154,H163,H164,)</f>
        <v>-2564.351999999999</v>
      </c>
    </row>
    <row r="165" spans="1:8" ht="12" thickBot="1">
      <c r="A165" s="65"/>
      <c r="B165" s="65"/>
      <c r="C165" s="65"/>
      <c r="D165" s="66"/>
      <c r="E165" s="67"/>
      <c r="F165" s="67"/>
      <c r="G165" s="73" t="s">
        <v>38</v>
      </c>
      <c r="H165" s="73">
        <f>SUM(H162:H164)</f>
        <v>52337.757</v>
      </c>
    </row>
    <row r="166" spans="1:8" ht="11.25">
      <c r="A166" s="62" t="s">
        <v>202</v>
      </c>
      <c r="B166" s="62" t="s">
        <v>203</v>
      </c>
      <c r="C166" s="62" t="s">
        <v>16</v>
      </c>
      <c r="D166" s="63">
        <v>200000</v>
      </c>
      <c r="E166" s="64">
        <v>0.26</v>
      </c>
      <c r="F166" s="64">
        <f>($D166*$E166)*0.002</f>
        <v>104</v>
      </c>
      <c r="G166" s="64">
        <f>$F166*0.07</f>
        <v>7.280000000000001</v>
      </c>
      <c r="H166" s="64">
        <f>IF($C166="BUY",(($D166*$E166)+$F166+$G166)*(-1),IF($C166="SELL",($D166*$E166)-$F166-$G166))</f>
        <v>-52111.28</v>
      </c>
    </row>
    <row r="167" spans="2:10" ht="11.25">
      <c r="B167" s="62" t="s">
        <v>203</v>
      </c>
      <c r="C167" s="62" t="s">
        <v>37</v>
      </c>
      <c r="D167" s="63">
        <v>100000</v>
      </c>
      <c r="E167" s="64">
        <v>0.25</v>
      </c>
      <c r="F167" s="64">
        <f>($D167*$E167)*0.002</f>
        <v>50</v>
      </c>
      <c r="G167" s="64">
        <f>$F167*0.07</f>
        <v>3.5000000000000004</v>
      </c>
      <c r="H167" s="64">
        <f>IF($C167="BUY",(($D167*$E167)+$F167+$G167)*(-1),IF($C167="SELL",($D167*$E167)-$F167-$G167))</f>
        <v>24946.5</v>
      </c>
      <c r="J167" s="77">
        <f>SUM(H166:H167,H169)</f>
        <v>-2218.279999999999</v>
      </c>
    </row>
    <row r="168" spans="1:8" ht="12" thickBot="1">
      <c r="A168" s="65"/>
      <c r="B168" s="65"/>
      <c r="C168" s="65"/>
      <c r="D168" s="66"/>
      <c r="E168" s="67"/>
      <c r="F168" s="67"/>
      <c r="G168" s="72" t="s">
        <v>14</v>
      </c>
      <c r="H168" s="72">
        <f>SUM(H166:H167)</f>
        <v>-27164.78</v>
      </c>
    </row>
    <row r="169" spans="1:8" ht="11.25">
      <c r="A169" s="62" t="s">
        <v>205</v>
      </c>
      <c r="B169" s="62" t="s">
        <v>203</v>
      </c>
      <c r="C169" s="62" t="s">
        <v>37</v>
      </c>
      <c r="D169" s="63">
        <v>100000</v>
      </c>
      <c r="E169" s="64">
        <v>0.25</v>
      </c>
      <c r="F169" s="64">
        <f>($D169*$E169)*0.002</f>
        <v>50</v>
      </c>
      <c r="G169" s="64">
        <f>$F169*0.07</f>
        <v>3.5000000000000004</v>
      </c>
      <c r="H169" s="64">
        <f>IF($C169="BUY",(($D169*$E169)+$F169+$G169)*(-1),IF($C169="SELL",($D169*$E169)-$F169-$G169))</f>
        <v>24946.5</v>
      </c>
    </row>
    <row r="170" spans="2:8" ht="11.25">
      <c r="B170" s="62" t="s">
        <v>206</v>
      </c>
      <c r="C170" s="62" t="s">
        <v>16</v>
      </c>
      <c r="D170" s="63">
        <v>2000</v>
      </c>
      <c r="E170" s="64">
        <v>36.75</v>
      </c>
      <c r="F170" s="64">
        <f>($D170*$E170)*0.002</f>
        <v>147</v>
      </c>
      <c r="G170" s="64">
        <f>$F170*0.07</f>
        <v>10.290000000000001</v>
      </c>
      <c r="H170" s="64">
        <f>IF($C170="BUY",(($D170*$E170)+$F170+$G170)*(-1),IF($C170="SELL",($D170*$E170)-$F170-$G170))</f>
        <v>-73657.29</v>
      </c>
    </row>
    <row r="171" spans="1:8" ht="12" thickBot="1">
      <c r="A171" s="65"/>
      <c r="B171" s="65"/>
      <c r="C171" s="65"/>
      <c r="D171" s="66"/>
      <c r="E171" s="67"/>
      <c r="F171" s="67"/>
      <c r="G171" s="72" t="s">
        <v>14</v>
      </c>
      <c r="H171" s="72">
        <f>SUM(H169:H170)</f>
        <v>-48710.78999999999</v>
      </c>
    </row>
    <row r="172" spans="1:10" ht="11.25">
      <c r="A172" s="62" t="s">
        <v>209</v>
      </c>
      <c r="B172" s="62" t="s">
        <v>208</v>
      </c>
      <c r="C172" s="62" t="s">
        <v>16</v>
      </c>
      <c r="D172" s="63">
        <v>2000</v>
      </c>
      <c r="E172" s="64">
        <v>32.5</v>
      </c>
      <c r="F172" s="64">
        <f>($D172*$E172)*0.002</f>
        <v>130</v>
      </c>
      <c r="G172" s="64">
        <f>$F172*0.07</f>
        <v>9.100000000000001</v>
      </c>
      <c r="H172" s="64">
        <f>IF($C172="BUY",(($D172*$E172)+$F172+$G172)*(-1),IF($C172="SELL",($D172*$E172)-$F172-$G172))</f>
        <v>-65139.1</v>
      </c>
      <c r="J172" s="69"/>
    </row>
    <row r="173" spans="2:8" ht="11.25">
      <c r="B173" s="62" t="s">
        <v>206</v>
      </c>
      <c r="C173" s="62" t="s">
        <v>37</v>
      </c>
      <c r="D173" s="63">
        <v>200</v>
      </c>
      <c r="E173" s="64">
        <v>32</v>
      </c>
      <c r="F173" s="64">
        <f>($D173*$E173)*0.002</f>
        <v>12.8</v>
      </c>
      <c r="G173" s="64">
        <f>$F173*0.07</f>
        <v>0.8960000000000001</v>
      </c>
      <c r="H173" s="64">
        <f>IF($C173="BUY",(($D173*$E173)+$F173+$G173)*(-1),IF($C173="SELL",($D173*$E173)-$F173-$G173))</f>
        <v>6386.304</v>
      </c>
    </row>
    <row r="174" spans="1:8" ht="12" thickBot="1">
      <c r="A174" s="65"/>
      <c r="B174" s="65"/>
      <c r="C174" s="65"/>
      <c r="D174" s="66"/>
      <c r="E174" s="67"/>
      <c r="F174" s="67"/>
      <c r="G174" s="72" t="s">
        <v>14</v>
      </c>
      <c r="H174" s="72">
        <f>SUM(H172:H173)</f>
        <v>-58752.796</v>
      </c>
    </row>
    <row r="175" spans="1:8" ht="11.25">
      <c r="A175" s="62" t="s">
        <v>211</v>
      </c>
      <c r="B175" s="62" t="s">
        <v>206</v>
      </c>
      <c r="C175" s="62" t="s">
        <v>37</v>
      </c>
      <c r="D175" s="63">
        <v>1000</v>
      </c>
      <c r="E175" s="64">
        <v>33</v>
      </c>
      <c r="F175" s="64">
        <f>($D175*$E175)*0.002</f>
        <v>66</v>
      </c>
      <c r="G175" s="64">
        <f>$F175*0.07</f>
        <v>4.62</v>
      </c>
      <c r="H175" s="64">
        <f>IF($C175="BUY",(($D175*$E175)+$F175+$G175)*(-1),IF($C175="SELL",($D175*$E175)-$F175-$G175))</f>
        <v>32929.38</v>
      </c>
    </row>
    <row r="176" spans="1:8" ht="12" thickBot="1">
      <c r="A176" s="65"/>
      <c r="B176" s="65"/>
      <c r="C176" s="65"/>
      <c r="D176" s="66"/>
      <c r="E176" s="67"/>
      <c r="F176" s="67"/>
      <c r="G176" s="73" t="s">
        <v>38</v>
      </c>
      <c r="H176" s="73">
        <f>H175</f>
        <v>32929.38</v>
      </c>
    </row>
    <row r="177" spans="1:8" ht="11.25">
      <c r="A177" s="62" t="s">
        <v>215</v>
      </c>
      <c r="B177" s="62" t="s">
        <v>206</v>
      </c>
      <c r="C177" s="62" t="s">
        <v>16</v>
      </c>
      <c r="D177" s="63">
        <v>100</v>
      </c>
      <c r="E177" s="64">
        <v>31.5</v>
      </c>
      <c r="F177" s="64">
        <f>($D177*$E177)*0.002</f>
        <v>6.3</v>
      </c>
      <c r="G177" s="64">
        <f>$F177*0.07</f>
        <v>0.441</v>
      </c>
      <c r="H177" s="64">
        <f>IF($C177="BUY",(($D177*$E177)+$F177+$G177)*(-1),IF($C177="SELL",($D177*$E177)-$F177-$G177))</f>
        <v>-3156.741</v>
      </c>
    </row>
    <row r="178" spans="2:10" ht="11.25">
      <c r="B178" s="62" t="s">
        <v>206</v>
      </c>
      <c r="C178" s="62" t="s">
        <v>16</v>
      </c>
      <c r="D178" s="63">
        <v>1500</v>
      </c>
      <c r="E178" s="64">
        <v>30.25</v>
      </c>
      <c r="F178" s="64">
        <f>($D178*$E178)*0.002</f>
        <v>90.75</v>
      </c>
      <c r="G178" s="64">
        <f>$F178*0.07</f>
        <v>6.352500000000001</v>
      </c>
      <c r="H178" s="64">
        <f>IF($C178="BUY",(($D178*$E178)+$F178+$G178)*(-1),IF($C178="SELL",($D178*$E178)-$F178-$G178))</f>
        <v>-45472.1025</v>
      </c>
      <c r="J178" s="85"/>
    </row>
    <row r="179" spans="2:10" ht="11.25">
      <c r="B179" s="62" t="s">
        <v>206</v>
      </c>
      <c r="C179" s="62" t="s">
        <v>37</v>
      </c>
      <c r="D179" s="63">
        <v>1500</v>
      </c>
      <c r="E179" s="64">
        <v>30.5</v>
      </c>
      <c r="F179" s="64">
        <f>($D179*$E179)*0.002</f>
        <v>91.5</v>
      </c>
      <c r="G179" s="64">
        <f>$F179*0.07</f>
        <v>6.405</v>
      </c>
      <c r="H179" s="64">
        <f>IF($C179="BUY",(($D179*$E179)+$F179+$G179)*(-1),IF($C179="SELL",($D179*$E179)-$F179-$G179))</f>
        <v>45652.095</v>
      </c>
      <c r="J179" s="86">
        <f>SUM(H178:H179)</f>
        <v>179.9925000000003</v>
      </c>
    </row>
    <row r="180" spans="2:8" ht="11.25">
      <c r="B180" s="62" t="s">
        <v>206</v>
      </c>
      <c r="C180" s="62" t="s">
        <v>16</v>
      </c>
      <c r="D180" s="63">
        <v>1500</v>
      </c>
      <c r="E180" s="64">
        <v>30.25</v>
      </c>
      <c r="F180" s="64">
        <f>($D180*$E180)*0.002</f>
        <v>90.75</v>
      </c>
      <c r="G180" s="64">
        <f>$F180*0.07</f>
        <v>6.352500000000001</v>
      </c>
      <c r="H180" s="64">
        <f>IF($C180="BUY",(($D180*$E180)+$F180+$G180)*(-1),IF($C180="SELL",($D180*$E180)-$F180-$G180))</f>
        <v>-45472.1025</v>
      </c>
    </row>
    <row r="181" spans="2:8" ht="11.25">
      <c r="B181" s="62" t="s">
        <v>206</v>
      </c>
      <c r="C181" s="62" t="s">
        <v>37</v>
      </c>
      <c r="D181" s="63">
        <v>500</v>
      </c>
      <c r="E181" s="64">
        <v>29.5</v>
      </c>
      <c r="F181" s="64">
        <f>($D181*$E181)*0.002</f>
        <v>29.5</v>
      </c>
      <c r="G181" s="64">
        <f>$F181*0.07</f>
        <v>2.0650000000000004</v>
      </c>
      <c r="H181" s="64">
        <f>IF($C181="BUY",(($D181*$E181)+$F181+$G181)*(-1),IF($C181="SELL",($D181*$E181)-$F181-$G181))</f>
        <v>14718.435</v>
      </c>
    </row>
    <row r="182" spans="1:8" ht="12" thickBot="1">
      <c r="A182" s="65"/>
      <c r="B182" s="65"/>
      <c r="C182" s="65"/>
      <c r="D182" s="66"/>
      <c r="E182" s="67"/>
      <c r="F182" s="67"/>
      <c r="G182" s="72" t="s">
        <v>14</v>
      </c>
      <c r="H182" s="72">
        <f>SUM(H177:H181)</f>
        <v>-33730.416000000005</v>
      </c>
    </row>
    <row r="183" spans="1:8" ht="11.25">
      <c r="A183" s="62" t="s">
        <v>219</v>
      </c>
      <c r="B183" s="62" t="s">
        <v>206</v>
      </c>
      <c r="C183" s="62" t="s">
        <v>37</v>
      </c>
      <c r="D183" s="63">
        <v>1500</v>
      </c>
      <c r="E183" s="64">
        <v>30.75</v>
      </c>
      <c r="F183" s="64">
        <f>($D183*$E183)*0.002</f>
        <v>92.25</v>
      </c>
      <c r="G183" s="64">
        <f>$F183*0.07</f>
        <v>6.4575000000000005</v>
      </c>
      <c r="H183" s="64">
        <f>IF($C183="BUY",(($D183*$E183)+$F183+$G183)*(-1),IF($C183="SELL",($D183*$E183)-$F183-$G183))</f>
        <v>46026.2925</v>
      </c>
    </row>
    <row r="184" spans="2:8" ht="11.25">
      <c r="B184" s="62" t="s">
        <v>206</v>
      </c>
      <c r="C184" s="62" t="s">
        <v>16</v>
      </c>
      <c r="D184" s="63">
        <v>1000</v>
      </c>
      <c r="E184" s="64">
        <v>30.5</v>
      </c>
      <c r="F184" s="64">
        <f>($D184*$E184)*0.002</f>
        <v>61</v>
      </c>
      <c r="G184" s="64">
        <f>$F184*0.07</f>
        <v>4.2700000000000005</v>
      </c>
      <c r="H184" s="64">
        <f>IF($C184="BUY",(($D184*$E184)+$F184+$G184)*(-1),IF($C184="SELL",($D184*$E184)-$F184-$G184))</f>
        <v>-30565.27</v>
      </c>
    </row>
    <row r="185" spans="1:8" ht="12" thickBot="1">
      <c r="A185" s="65"/>
      <c r="B185" s="65"/>
      <c r="C185" s="65"/>
      <c r="D185" s="66"/>
      <c r="E185" s="67"/>
      <c r="F185" s="67"/>
      <c r="G185" s="73" t="s">
        <v>38</v>
      </c>
      <c r="H185" s="73">
        <f>SUM(H183:H184)</f>
        <v>15461.022500000003</v>
      </c>
    </row>
    <row r="186" spans="1:8" ht="11.25">
      <c r="A186" s="62" t="s">
        <v>222</v>
      </c>
      <c r="B186" s="62" t="s">
        <v>206</v>
      </c>
      <c r="C186" s="62" t="s">
        <v>37</v>
      </c>
      <c r="D186" s="63">
        <v>1400</v>
      </c>
      <c r="E186" s="64">
        <v>32</v>
      </c>
      <c r="F186" s="64">
        <f>($D186*$E186)*0.002</f>
        <v>89.60000000000001</v>
      </c>
      <c r="G186" s="64">
        <f>$F186*0.07</f>
        <v>6.272000000000001</v>
      </c>
      <c r="H186" s="64">
        <f>IF($C186="BUY",(($D186*$E186)+$F186+$G186)*(-1),IF($C186="SELL",($D186*$E186)-$F186-$G186))</f>
        <v>44704.128000000004</v>
      </c>
    </row>
    <row r="187" spans="2:8" ht="11.25">
      <c r="B187" s="62" t="s">
        <v>206</v>
      </c>
      <c r="C187" s="62" t="s">
        <v>16</v>
      </c>
      <c r="D187" s="63">
        <v>1000</v>
      </c>
      <c r="E187" s="64">
        <v>31.75</v>
      </c>
      <c r="F187" s="64">
        <f>($D187*$E187)*0.002</f>
        <v>63.5</v>
      </c>
      <c r="G187" s="64">
        <f>$F187*0.07</f>
        <v>4.445</v>
      </c>
      <c r="H187" s="64">
        <f>IF($C187="BUY",(($D187*$E187)+$F187+$G187)*(-1),IF($C187="SELL",($D187*$E187)-$F187-$G187))</f>
        <v>-31817.945</v>
      </c>
    </row>
    <row r="188" spans="1:8" ht="12" thickBot="1">
      <c r="A188" s="65"/>
      <c r="B188" s="65"/>
      <c r="C188" s="65"/>
      <c r="D188" s="66"/>
      <c r="E188" s="67"/>
      <c r="F188" s="67"/>
      <c r="G188" s="73" t="s">
        <v>38</v>
      </c>
      <c r="H188" s="73">
        <f>SUM(H186:H187)</f>
        <v>12886.183000000005</v>
      </c>
    </row>
    <row r="189" spans="1:8" ht="11.25">
      <c r="A189" s="87" t="s">
        <v>224</v>
      </c>
      <c r="B189" s="87" t="s">
        <v>206</v>
      </c>
      <c r="C189" s="87" t="s">
        <v>16</v>
      </c>
      <c r="D189" s="88">
        <v>500</v>
      </c>
      <c r="E189" s="89">
        <v>31.75</v>
      </c>
      <c r="F189" s="89">
        <v>50</v>
      </c>
      <c r="G189" s="89">
        <f>$F189*0.07</f>
        <v>3.5000000000000004</v>
      </c>
      <c r="H189" s="89">
        <f>IF($C189="BUY",(($D189*$E189)+$F189+$G189)*(-1),IF($C189="SELL",($D189*$E189)-$F189-$G189))</f>
        <v>-15928.5</v>
      </c>
    </row>
    <row r="190" spans="1:8" ht="12" thickBot="1">
      <c r="A190" s="65"/>
      <c r="B190" s="65"/>
      <c r="C190" s="65"/>
      <c r="D190" s="66"/>
      <c r="E190" s="67"/>
      <c r="F190" s="67"/>
      <c r="G190" s="72" t="s">
        <v>14</v>
      </c>
      <c r="H190" s="72">
        <f>H189</f>
        <v>-15928.5</v>
      </c>
    </row>
    <row r="191" spans="1:8" ht="11.25">
      <c r="A191" s="62" t="s">
        <v>226</v>
      </c>
      <c r="B191" s="62" t="s">
        <v>227</v>
      </c>
      <c r="C191" s="62" t="s">
        <v>16</v>
      </c>
      <c r="D191" s="63">
        <v>1500</v>
      </c>
      <c r="E191" s="64">
        <v>22.4</v>
      </c>
      <c r="F191" s="64">
        <f>($D191*$E191)*0.002</f>
        <v>67.2</v>
      </c>
      <c r="G191" s="64">
        <f>$F191*0.07</f>
        <v>4.704000000000001</v>
      </c>
      <c r="H191" s="64">
        <f>IF($C191="BUY",(($D191*$E191)+$F191+$G191)*(-1),IF($C191="SELL",($D191*$E191)-$F191-$G191))</f>
        <v>-33671.903999999995</v>
      </c>
    </row>
    <row r="192" spans="2:8" ht="11.25">
      <c r="B192" s="62" t="s">
        <v>206</v>
      </c>
      <c r="C192" s="62" t="s">
        <v>37</v>
      </c>
      <c r="D192" s="63">
        <v>500</v>
      </c>
      <c r="E192" s="64">
        <v>31.25</v>
      </c>
      <c r="F192" s="64">
        <f>($D192*$E192)*0.002</f>
        <v>31.25</v>
      </c>
      <c r="G192" s="64">
        <f>$F192*0.07</f>
        <v>2.1875</v>
      </c>
      <c r="H192" s="64">
        <f>IF($C192="BUY",(($D192*$E192)+$F192+$G192)*(-1),IF($C192="SELL",($D192*$E192)-$F192-$G192))</f>
        <v>15591.5625</v>
      </c>
    </row>
    <row r="193" spans="1:8" ht="12" thickBot="1">
      <c r="A193" s="65"/>
      <c r="B193" s="65"/>
      <c r="C193" s="65"/>
      <c r="D193" s="66"/>
      <c r="E193" s="67"/>
      <c r="F193" s="67"/>
      <c r="G193" s="72" t="s">
        <v>14</v>
      </c>
      <c r="H193" s="72">
        <f>SUM(H191:H192)</f>
        <v>-18080.341499999995</v>
      </c>
    </row>
    <row r="194" spans="1:8" ht="11.25">
      <c r="A194" s="62" t="s">
        <v>241</v>
      </c>
      <c r="B194" s="62" t="s">
        <v>206</v>
      </c>
      <c r="C194" s="62" t="s">
        <v>37</v>
      </c>
      <c r="D194" s="63">
        <v>2000</v>
      </c>
      <c r="E194" s="64">
        <v>31.25</v>
      </c>
      <c r="F194" s="64">
        <f>($D194*$E194)*0.002</f>
        <v>125</v>
      </c>
      <c r="G194" s="64">
        <f>$F194*0.07</f>
        <v>8.75</v>
      </c>
      <c r="H194" s="64">
        <f>IF($C194="BUY",(($D194*$E194)+$F194+$G194)*(-1),IF($C194="SELL",($D194*$E194)-$F194-$G194))</f>
        <v>62366.25</v>
      </c>
    </row>
    <row r="195" spans="1:8" ht="12" thickBot="1">
      <c r="A195" s="65"/>
      <c r="B195" s="65"/>
      <c r="C195" s="65"/>
      <c r="D195" s="66"/>
      <c r="E195" s="67"/>
      <c r="F195" s="67"/>
      <c r="G195" s="73" t="s">
        <v>38</v>
      </c>
      <c r="H195" s="73">
        <f>H194</f>
        <v>62366.25</v>
      </c>
    </row>
    <row r="196" spans="1:10" ht="11.25">
      <c r="A196" s="87" t="s">
        <v>242</v>
      </c>
      <c r="B196" s="87" t="s">
        <v>206</v>
      </c>
      <c r="C196" s="87" t="s">
        <v>37</v>
      </c>
      <c r="D196" s="88">
        <v>1000</v>
      </c>
      <c r="E196" s="89">
        <v>32</v>
      </c>
      <c r="F196" s="89">
        <f>($D196*$E196)*0.002</f>
        <v>64</v>
      </c>
      <c r="G196" s="89">
        <f>$F196*0.07</f>
        <v>4.48</v>
      </c>
      <c r="H196" s="89">
        <f>IF($C196="BUY",(($D196*$E196)+$F196+$G196)*(-1),IF($C196="SELL",($D196*$E196)-$F196-$G196))</f>
        <v>31931.52</v>
      </c>
      <c r="J196" s="77">
        <f>SUM(H196,H194,H192,H189,H186:H187,H183:H184,H180:H181,H177,H175,H172:H173,H170,)</f>
        <v>-11083.076499999981</v>
      </c>
    </row>
    <row r="197" spans="2:8" ht="11.25">
      <c r="B197" s="62" t="s">
        <v>236</v>
      </c>
      <c r="C197" s="62" t="s">
        <v>16</v>
      </c>
      <c r="D197" s="63">
        <v>100</v>
      </c>
      <c r="E197" s="64">
        <v>120</v>
      </c>
      <c r="F197" s="64">
        <f>($D197*$E197)*0.002</f>
        <v>24</v>
      </c>
      <c r="G197" s="64">
        <f>$F197*0.07</f>
        <v>1.6800000000000002</v>
      </c>
      <c r="H197" s="64">
        <f>IF($C197="BUY",(($D197*$E197)+$F197+$G197)*(-1),IF($C197="SELL",($D197*$E197)-$F197-$G197))</f>
        <v>-12025.68</v>
      </c>
    </row>
    <row r="198" spans="1:8" ht="12" thickBot="1">
      <c r="A198" s="65"/>
      <c r="B198" s="65"/>
      <c r="C198" s="65"/>
      <c r="D198" s="66"/>
      <c r="E198" s="67"/>
      <c r="F198" s="67"/>
      <c r="G198" s="73" t="s">
        <v>38</v>
      </c>
      <c r="H198" s="73">
        <f>SUM(H196:H197)</f>
        <v>19905.84</v>
      </c>
    </row>
    <row r="199" spans="1:8" ht="11.25">
      <c r="A199" s="62" t="s">
        <v>243</v>
      </c>
      <c r="B199" s="62" t="s">
        <v>227</v>
      </c>
      <c r="C199" s="62" t="s">
        <v>16</v>
      </c>
      <c r="D199" s="63">
        <v>1000</v>
      </c>
      <c r="E199" s="64">
        <v>21</v>
      </c>
      <c r="F199" s="64">
        <f>($D199*$E199)*0.002</f>
        <v>42</v>
      </c>
      <c r="G199" s="64">
        <f>$F199*0.07</f>
        <v>2.9400000000000004</v>
      </c>
      <c r="H199" s="64">
        <f>IF($C199="BUY",(($D199*$E199)+$F199+$G199)*(-1),IF($C199="SELL",($D199*$E199)-$F199-$G199))</f>
        <v>-21044.94</v>
      </c>
    </row>
    <row r="200" spans="2:10" ht="11.25">
      <c r="B200" s="62" t="s">
        <v>236</v>
      </c>
      <c r="C200" s="62" t="s">
        <v>37</v>
      </c>
      <c r="D200" s="63">
        <v>100</v>
      </c>
      <c r="E200" s="64">
        <v>121</v>
      </c>
      <c r="F200" s="64">
        <f>($D200*$E200)*0.002</f>
        <v>24.2</v>
      </c>
      <c r="G200" s="64">
        <f>$F200*0.07</f>
        <v>1.6940000000000002</v>
      </c>
      <c r="H200" s="64">
        <f>IF($C200="BUY",(($D200*$E200)+$F200+$G200)*(-1),IF($C200="SELL",($D200*$E200)-$F200-$G200))</f>
        <v>12074.106</v>
      </c>
      <c r="J200" s="86">
        <f>SUM(H197,H200)</f>
        <v>48.425999999999476</v>
      </c>
    </row>
    <row r="201" spans="2:8" ht="11.25">
      <c r="B201" s="62" t="s">
        <v>238</v>
      </c>
      <c r="C201" s="62" t="s">
        <v>16</v>
      </c>
      <c r="D201" s="63">
        <v>1000</v>
      </c>
      <c r="E201" s="64">
        <v>30.75</v>
      </c>
      <c r="F201" s="64">
        <f>($D201*$E201)*0.002</f>
        <v>61.5</v>
      </c>
      <c r="G201" s="64">
        <f>$F201*0.07</f>
        <v>4.305000000000001</v>
      </c>
      <c r="H201" s="64">
        <f>IF($C201="BUY",(($D201*$E201)+$F201+$G201)*(-1),IF($C201="SELL",($D201*$E201)-$F201-$G201))</f>
        <v>-30815.805</v>
      </c>
    </row>
    <row r="202" spans="1:8" ht="12" thickBot="1">
      <c r="A202" s="65"/>
      <c r="B202" s="65"/>
      <c r="C202" s="65"/>
      <c r="D202" s="66"/>
      <c r="E202" s="67"/>
      <c r="F202" s="67"/>
      <c r="G202" s="72" t="s">
        <v>14</v>
      </c>
      <c r="H202" s="72">
        <f>SUM(H199:H201)</f>
        <v>-39786.638999999996</v>
      </c>
    </row>
    <row r="203" spans="1:8" ht="11.25">
      <c r="A203" s="62" t="s">
        <v>244</v>
      </c>
      <c r="B203" s="62" t="s">
        <v>227</v>
      </c>
      <c r="C203" s="62" t="s">
        <v>37</v>
      </c>
      <c r="D203" s="63">
        <v>500</v>
      </c>
      <c r="E203" s="64">
        <v>20.6</v>
      </c>
      <c r="F203" s="64">
        <v>50</v>
      </c>
      <c r="G203" s="64">
        <f>$F203*0.07</f>
        <v>3.5000000000000004</v>
      </c>
      <c r="H203" s="64">
        <f>IF($C203="BUY",(($D203*$E203)+$F203+$G203)*(-1),IF($C203="SELL",($D203*$E203)-$F203-$G203))</f>
        <v>10246.5</v>
      </c>
    </row>
    <row r="204" spans="1:8" ht="12" thickBot="1">
      <c r="A204" s="65"/>
      <c r="B204" s="65"/>
      <c r="C204" s="65"/>
      <c r="D204" s="66"/>
      <c r="E204" s="67"/>
      <c r="F204" s="67"/>
      <c r="G204" s="73" t="s">
        <v>38</v>
      </c>
      <c r="H204" s="73">
        <f>H203</f>
        <v>10246.5</v>
      </c>
    </row>
    <row r="205" spans="1:8" ht="11.25">
      <c r="A205" s="62" t="s">
        <v>247</v>
      </c>
      <c r="B205" s="62" t="s">
        <v>245</v>
      </c>
      <c r="C205" s="62" t="s">
        <v>16</v>
      </c>
      <c r="D205" s="63">
        <v>100</v>
      </c>
      <c r="E205" s="64">
        <v>121</v>
      </c>
      <c r="F205" s="64">
        <f>($D205*$E205)*0.002</f>
        <v>24.2</v>
      </c>
      <c r="G205" s="64">
        <f>$F205*0.07</f>
        <v>1.6940000000000002</v>
      </c>
      <c r="H205" s="64">
        <f>IF($C205="BUY",(($D205*$E205)+$F205+$G205)*(-1),IF($C205="SELL",($D205*$E205)-$F205-$G205))</f>
        <v>-12125.894</v>
      </c>
    </row>
    <row r="206" spans="2:8" ht="11.25">
      <c r="B206" s="62" t="s">
        <v>246</v>
      </c>
      <c r="C206" s="62" t="s">
        <v>16</v>
      </c>
      <c r="D206" s="63">
        <v>1000</v>
      </c>
      <c r="E206" s="64">
        <v>35.75</v>
      </c>
      <c r="F206" s="64">
        <f>($D206*$E206)*0.002</f>
        <v>71.5</v>
      </c>
      <c r="G206" s="64">
        <f>$F206*0.07</f>
        <v>5.005000000000001</v>
      </c>
      <c r="H206" s="64">
        <f>IF($C206="BUY",(($D206*$E206)+$F206+$G206)*(-1),IF($C206="SELL",($D206*$E206)-$F206-$G206))</f>
        <v>-35826.505</v>
      </c>
    </row>
    <row r="207" spans="1:8" ht="12" thickBot="1">
      <c r="A207" s="65"/>
      <c r="B207" s="65"/>
      <c r="C207" s="65"/>
      <c r="D207" s="66"/>
      <c r="E207" s="67"/>
      <c r="F207" s="67"/>
      <c r="G207" s="72" t="s">
        <v>14</v>
      </c>
      <c r="H207" s="72">
        <f>SUM(H205:H206)</f>
        <v>-47952.399</v>
      </c>
    </row>
    <row r="208" spans="1:10" ht="11.25">
      <c r="A208" s="62" t="s">
        <v>251</v>
      </c>
      <c r="B208" s="62" t="s">
        <v>246</v>
      </c>
      <c r="C208" s="62" t="s">
        <v>37</v>
      </c>
      <c r="D208" s="63">
        <v>1000</v>
      </c>
      <c r="E208" s="64">
        <v>36.25</v>
      </c>
      <c r="F208" s="64">
        <f>($D208*$E208)*0.002</f>
        <v>72.5</v>
      </c>
      <c r="G208" s="64">
        <f>$F208*0.07</f>
        <v>5.075</v>
      </c>
      <c r="H208" s="64">
        <f>IF($C208="BUY",(($D208*$E208)+$F208+$G208)*(-1),IF($C208="SELL",($D208*$E208)-$F208-$G208))</f>
        <v>36172.425</v>
      </c>
      <c r="J208" s="70">
        <f>SUM(H206,H208)</f>
        <v>345.92000000000553</v>
      </c>
    </row>
    <row r="209" spans="1:8" ht="12" thickBot="1">
      <c r="A209" s="65"/>
      <c r="B209" s="65"/>
      <c r="C209" s="65"/>
      <c r="D209" s="66"/>
      <c r="E209" s="67"/>
      <c r="F209" s="67"/>
      <c r="G209" s="73" t="s">
        <v>38</v>
      </c>
      <c r="H209" s="73">
        <f>H208</f>
        <v>36172.425</v>
      </c>
    </row>
    <row r="210" spans="1:10" ht="11.25">
      <c r="A210" s="62" t="s">
        <v>252</v>
      </c>
      <c r="B210" s="62" t="s">
        <v>245</v>
      </c>
      <c r="C210" s="62" t="s">
        <v>37</v>
      </c>
      <c r="D210" s="63">
        <v>100</v>
      </c>
      <c r="E210" s="64">
        <v>124</v>
      </c>
      <c r="F210" s="64">
        <f>($D210*$E210)*0.002</f>
        <v>24.8</v>
      </c>
      <c r="G210" s="64">
        <f>$F210*0.07</f>
        <v>1.7360000000000002</v>
      </c>
      <c r="H210" s="64">
        <f>IF($C210="BUY",(($D210*$E210)+$F210+$G210)*(-1),IF($C210="SELL",($D210*$E210)-$F210-$G210))</f>
        <v>12373.464</v>
      </c>
      <c r="J210" s="70">
        <f>SUM(H205,H210)</f>
        <v>247.5699999999997</v>
      </c>
    </row>
    <row r="211" spans="2:8" ht="11.25">
      <c r="B211" s="62" t="s">
        <v>246</v>
      </c>
      <c r="C211" s="62" t="s">
        <v>16</v>
      </c>
      <c r="D211" s="63">
        <v>1000</v>
      </c>
      <c r="E211" s="64">
        <v>35.75</v>
      </c>
      <c r="F211" s="64">
        <f>($D211*$E211)*0.002</f>
        <v>71.5</v>
      </c>
      <c r="G211" s="64">
        <f>$F211*0.07</f>
        <v>5.005000000000001</v>
      </c>
      <c r="H211" s="64">
        <f>IF($C211="BUY",(($D211*$E211)+$F211+$G211)*(-1),IF($C211="SELL",($D211*$E211)-$F211-$G211))</f>
        <v>-35826.505</v>
      </c>
    </row>
    <row r="212" spans="1:8" ht="12" thickBot="1">
      <c r="A212" s="65"/>
      <c r="B212" s="65"/>
      <c r="C212" s="65"/>
      <c r="D212" s="66"/>
      <c r="E212" s="67"/>
      <c r="F212" s="67"/>
      <c r="G212" s="72" t="s">
        <v>14</v>
      </c>
      <c r="H212" s="72">
        <f>SUM(H210:H211)</f>
        <v>-23453.040999999997</v>
      </c>
    </row>
    <row r="213" spans="1:10" ht="11.25">
      <c r="A213" s="62" t="s">
        <v>254</v>
      </c>
      <c r="B213" s="62" t="s">
        <v>246</v>
      </c>
      <c r="C213" s="62" t="s">
        <v>37</v>
      </c>
      <c r="D213" s="63">
        <v>1000</v>
      </c>
      <c r="E213" s="64">
        <v>36.5</v>
      </c>
      <c r="F213" s="64">
        <f>($D213*$E213)*0.002</f>
        <v>73</v>
      </c>
      <c r="G213" s="64">
        <f>$F213*0.07</f>
        <v>5.11</v>
      </c>
      <c r="H213" s="64">
        <f>IF($C213="BUY",(($D213*$E213)+$F213+$G213)*(-1),IF($C213="SELL",($D213*$E213)-$F213-$G213))</f>
        <v>36421.89</v>
      </c>
      <c r="J213" s="70">
        <f>SUM(H211,H213)</f>
        <v>595.385000000002</v>
      </c>
    </row>
    <row r="214" spans="1:8" ht="12" thickBot="1">
      <c r="A214" s="65"/>
      <c r="B214" s="65"/>
      <c r="C214" s="65"/>
      <c r="D214" s="66"/>
      <c r="E214" s="67"/>
      <c r="F214" s="67"/>
      <c r="G214" s="73" t="s">
        <v>38</v>
      </c>
      <c r="H214" s="73">
        <f>H213</f>
        <v>36421.89</v>
      </c>
    </row>
    <row r="215" spans="1:10" ht="11.25">
      <c r="A215" s="62" t="s">
        <v>256</v>
      </c>
      <c r="B215" s="62" t="s">
        <v>238</v>
      </c>
      <c r="C215" s="62" t="s">
        <v>37</v>
      </c>
      <c r="D215" s="63">
        <v>1000</v>
      </c>
      <c r="E215" s="64">
        <v>32.25</v>
      </c>
      <c r="F215" s="64">
        <f>($D215*$E215)*0.002</f>
        <v>64.5</v>
      </c>
      <c r="G215" s="64">
        <f>$F215*0.07</f>
        <v>4.515000000000001</v>
      </c>
      <c r="H215" s="64">
        <f>IF($C215="BUY",(($D215*$E215)+$F215+$G215)*(-1),IF($C215="SELL",($D215*$E215)-$F215-$G215))</f>
        <v>32180.985</v>
      </c>
      <c r="J215" s="70">
        <f>SUM(H201,H215)</f>
        <v>1365.1800000000003</v>
      </c>
    </row>
    <row r="216" spans="2:10" ht="11.25">
      <c r="B216" s="62" t="s">
        <v>257</v>
      </c>
      <c r="C216" s="62" t="s">
        <v>16</v>
      </c>
      <c r="D216" s="63">
        <v>1000</v>
      </c>
      <c r="E216" s="64">
        <v>11.9</v>
      </c>
      <c r="F216" s="64">
        <f>($D216*$E216)*0.002</f>
        <v>23.8</v>
      </c>
      <c r="G216" s="64">
        <f>$F216*0.07</f>
        <v>1.6660000000000001</v>
      </c>
      <c r="H216" s="64">
        <f>IF($C216="BUY",(($D216*$E216)+$F216+$G216)*(-1),IF($C216="SELL",($D216*$E216)-$F216-$G216))</f>
        <v>-11925.465999999999</v>
      </c>
      <c r="J216" s="69"/>
    </row>
    <row r="217" spans="2:8" ht="11.25">
      <c r="B217" s="62" t="s">
        <v>258</v>
      </c>
      <c r="C217" s="62" t="s">
        <v>16</v>
      </c>
      <c r="D217" s="63">
        <v>1000</v>
      </c>
      <c r="E217" s="64">
        <v>30.5</v>
      </c>
      <c r="F217" s="64">
        <f>($D217*$E217)*0.002</f>
        <v>61</v>
      </c>
      <c r="G217" s="64">
        <f>$F217*0.07</f>
        <v>4.2700000000000005</v>
      </c>
      <c r="H217" s="64">
        <f>IF($C217="BUY",(($D217*$E217)+$F217+$G217)*(-1),IF($C217="SELL",($D217*$E217)-$F217-$G217))</f>
        <v>-30565.27</v>
      </c>
    </row>
    <row r="218" spans="2:8" ht="11.25">
      <c r="B218" s="62" t="s">
        <v>227</v>
      </c>
      <c r="C218" s="62" t="s">
        <v>37</v>
      </c>
      <c r="D218" s="63">
        <v>500</v>
      </c>
      <c r="E218" s="64">
        <v>21.2</v>
      </c>
      <c r="F218" s="64">
        <f>($D218*$E218)*0.002</f>
        <v>21.2</v>
      </c>
      <c r="G218" s="64">
        <f>$F218*0.07</f>
        <v>1.484</v>
      </c>
      <c r="H218" s="64">
        <f>IF($C218="BUY",(($D218*$E218)+$F218+$G218)*(-1),IF($C218="SELL",($D218*$E218)-$F218-$G218))</f>
        <v>10577.315999999999</v>
      </c>
    </row>
    <row r="219" spans="2:8" ht="11.25">
      <c r="B219" s="62" t="s">
        <v>259</v>
      </c>
      <c r="C219" s="62" t="s">
        <v>16</v>
      </c>
      <c r="D219" s="63">
        <v>100</v>
      </c>
      <c r="E219" s="64">
        <v>82</v>
      </c>
      <c r="F219" s="64">
        <f>($D219*$E219)*0.002</f>
        <v>16.4</v>
      </c>
      <c r="G219" s="64">
        <f>$F219*0.07</f>
        <v>1.148</v>
      </c>
      <c r="H219" s="64">
        <f>IF($C219="BUY",(($D219*$E219)+$F219+$G219)*(-1),IF($C219="SELL",($D219*$E219)-$F219-$G219))</f>
        <v>-8217.547999999999</v>
      </c>
    </row>
    <row r="220" spans="1:8" ht="12" thickBot="1">
      <c r="A220" s="65"/>
      <c r="B220" s="65"/>
      <c r="C220" s="65"/>
      <c r="D220" s="66"/>
      <c r="E220" s="67"/>
      <c r="F220" s="67"/>
      <c r="G220" s="72" t="s">
        <v>14</v>
      </c>
      <c r="H220" s="72">
        <f>SUM(H215:H219)</f>
        <v>-7949.983</v>
      </c>
    </row>
    <row r="221" spans="1:10" ht="11.25">
      <c r="A221" s="62" t="s">
        <v>261</v>
      </c>
      <c r="B221" s="62" t="s">
        <v>258</v>
      </c>
      <c r="C221" s="62" t="s">
        <v>37</v>
      </c>
      <c r="D221" s="63">
        <v>1000</v>
      </c>
      <c r="E221" s="64">
        <v>31</v>
      </c>
      <c r="F221" s="64">
        <f>($D221*$E221)*0.002</f>
        <v>62</v>
      </c>
      <c r="G221" s="64">
        <f>$F221*0.07</f>
        <v>4.340000000000001</v>
      </c>
      <c r="H221" s="64">
        <f>IF($C221="BUY",(($D221*$E221)+$F221+$G221)*(-1),IF($C221="SELL",($D221*$E221)-$F221-$G221))</f>
        <v>30933.66</v>
      </c>
      <c r="J221" s="70"/>
    </row>
    <row r="222" spans="2:8" ht="11.25">
      <c r="B222" s="62" t="s">
        <v>245</v>
      </c>
      <c r="C222" s="62" t="s">
        <v>16</v>
      </c>
      <c r="D222" s="63">
        <v>100</v>
      </c>
      <c r="E222" s="64">
        <v>121</v>
      </c>
      <c r="F222" s="64">
        <f>($D222*$E222)*0.002</f>
        <v>24.2</v>
      </c>
      <c r="G222" s="64">
        <f>$F222*0.07</f>
        <v>1.6940000000000002</v>
      </c>
      <c r="H222" s="64">
        <f>IF($C222="BUY",(($D222*$E222)+$F222+$G222)*(-1),IF($C222="SELL",($D222*$E222)-$F222-$G222))</f>
        <v>-12125.894</v>
      </c>
    </row>
    <row r="223" spans="2:8" ht="11.25">
      <c r="B223" s="62" t="s">
        <v>157</v>
      </c>
      <c r="C223" s="62" t="s">
        <v>16</v>
      </c>
      <c r="D223" s="63">
        <v>1000</v>
      </c>
      <c r="E223" s="64">
        <v>9.1</v>
      </c>
      <c r="F223" s="64">
        <f>($D223*$E223)*0.002</f>
        <v>18.2</v>
      </c>
      <c r="G223" s="64">
        <f>$F223*0.07</f>
        <v>1.274</v>
      </c>
      <c r="H223" s="64">
        <f>IF($C223="BUY",(($D223*$E223)+$F223+$G223)*(-1),IF($C223="SELL",($D223*$E223)-$F223-$G223))</f>
        <v>-9119.474</v>
      </c>
    </row>
    <row r="224" spans="2:8" ht="11.25">
      <c r="B224" s="62" t="s">
        <v>257</v>
      </c>
      <c r="C224" s="62" t="s">
        <v>16</v>
      </c>
      <c r="D224" s="63">
        <v>1000</v>
      </c>
      <c r="E224" s="64">
        <v>11.8</v>
      </c>
      <c r="F224" s="64">
        <f>($D224*$E224)*0.002</f>
        <v>23.6</v>
      </c>
      <c r="G224" s="64">
        <f>$F224*0.07</f>
        <v>1.6520000000000004</v>
      </c>
      <c r="H224" s="64">
        <f>IF($C224="BUY",(($D224*$E224)+$F224+$G224)*(-1),IF($C224="SELL",($D224*$E224)-$F224-$G224))</f>
        <v>-11825.252</v>
      </c>
    </row>
    <row r="225" spans="1:8" ht="12" thickBot="1">
      <c r="A225" s="65"/>
      <c r="B225" s="65"/>
      <c r="C225" s="65"/>
      <c r="D225" s="66"/>
      <c r="E225" s="67"/>
      <c r="F225" s="67"/>
      <c r="G225" s="72" t="s">
        <v>14</v>
      </c>
      <c r="H225" s="72">
        <f>SUM(H221:H224)</f>
        <v>-2136.960000000001</v>
      </c>
    </row>
    <row r="226" spans="1:10" ht="11.25">
      <c r="A226" s="62" t="s">
        <v>263</v>
      </c>
      <c r="B226" s="62" t="s">
        <v>157</v>
      </c>
      <c r="C226" s="62" t="s">
        <v>37</v>
      </c>
      <c r="D226" s="63">
        <v>1000</v>
      </c>
      <c r="E226" s="64">
        <v>9.6</v>
      </c>
      <c r="F226" s="64">
        <f>($D226*$E226)*0.002</f>
        <v>19.2</v>
      </c>
      <c r="G226" s="64">
        <f>$F226*0.07</f>
        <v>1.344</v>
      </c>
      <c r="H226" s="64">
        <f>IF($C226="BUY",(($D226*$E226)+$F226+$G226)*(-1),IF($C226="SELL",($D226*$E226)-$F226-$G226))</f>
        <v>9579.456</v>
      </c>
      <c r="J226" s="70">
        <f>SUM(H223,H226)</f>
        <v>459.98199999999997</v>
      </c>
    </row>
    <row r="227" spans="2:8" ht="11.25">
      <c r="B227" s="62" t="s">
        <v>245</v>
      </c>
      <c r="C227" s="62" t="s">
        <v>16</v>
      </c>
      <c r="D227" s="63">
        <v>100</v>
      </c>
      <c r="E227" s="64">
        <v>121</v>
      </c>
      <c r="F227" s="64">
        <f>($D227*$E227)*0.002</f>
        <v>24.2</v>
      </c>
      <c r="G227" s="64">
        <f>$F227*0.07</f>
        <v>1.6940000000000002</v>
      </c>
      <c r="H227" s="64">
        <f>IF($C227="BUY",(($D227*$E227)+$F227+$G227)*(-1),IF($C227="SELL",($D227*$E227)-$F227-$G227))</f>
        <v>-12125.894</v>
      </c>
    </row>
    <row r="228" spans="2:8" ht="11.25">
      <c r="B228" s="62" t="s">
        <v>258</v>
      </c>
      <c r="C228" s="62" t="s">
        <v>16</v>
      </c>
      <c r="D228" s="63">
        <v>1000</v>
      </c>
      <c r="E228" s="64">
        <v>30.75</v>
      </c>
      <c r="F228" s="64">
        <f>($D228*$E228)*0.002</f>
        <v>61.5</v>
      </c>
      <c r="G228" s="64">
        <f>$F228*0.07</f>
        <v>4.305000000000001</v>
      </c>
      <c r="H228" s="64">
        <f>IF($C228="BUY",(($D228*$E228)+$F228+$G228)*(-1),IF($C228="SELL",($D228*$E228)-$F228-$G228))</f>
        <v>-30815.805</v>
      </c>
    </row>
    <row r="229" spans="2:8" ht="11.25">
      <c r="B229" s="62" t="s">
        <v>257</v>
      </c>
      <c r="C229" s="62" t="s">
        <v>16</v>
      </c>
      <c r="D229" s="63">
        <v>2000</v>
      </c>
      <c r="E229" s="64">
        <v>11.6</v>
      </c>
      <c r="F229" s="64">
        <f>($D229*$E229)*0.002</f>
        <v>46.4</v>
      </c>
      <c r="G229" s="64">
        <f>$F229*0.07</f>
        <v>3.248</v>
      </c>
      <c r="H229" s="64">
        <f>IF($C229="BUY",(($D229*$E229)+$F229+$G229)*(-1),IF($C229="SELL",($D229*$E229)-$F229-$G229))</f>
        <v>-23249.648</v>
      </c>
    </row>
    <row r="230" spans="2:10" ht="11.25">
      <c r="B230" s="62" t="s">
        <v>257</v>
      </c>
      <c r="C230" s="62" t="s">
        <v>37</v>
      </c>
      <c r="D230" s="63">
        <v>2000</v>
      </c>
      <c r="E230" s="64">
        <v>11.7</v>
      </c>
      <c r="F230" s="64">
        <f>($D230*$E230)*0.002</f>
        <v>46.800000000000004</v>
      </c>
      <c r="G230" s="64">
        <f>$F230*0.07</f>
        <v>3.2760000000000007</v>
      </c>
      <c r="H230" s="64">
        <f>IF($C230="BUY",(($D230*$E230)+$F230+$G230)*(-1),IF($C230="SELL",($D230*$E230)-$F230-$G230))</f>
        <v>23349.924</v>
      </c>
      <c r="J230" s="70"/>
    </row>
    <row r="231" spans="1:8" ht="12" thickBot="1">
      <c r="A231" s="65"/>
      <c r="B231" s="65"/>
      <c r="C231" s="65"/>
      <c r="D231" s="66"/>
      <c r="E231" s="67"/>
      <c r="F231" s="67"/>
      <c r="G231" s="72" t="s">
        <v>14</v>
      </c>
      <c r="H231" s="72">
        <f>SUM(H226:H230)</f>
        <v>-33261.967000000004</v>
      </c>
    </row>
    <row r="232" spans="1:8" ht="11.25">
      <c r="A232" s="62" t="s">
        <v>266</v>
      </c>
      <c r="B232" s="62" t="s">
        <v>257</v>
      </c>
      <c r="C232" s="62" t="s">
        <v>16</v>
      </c>
      <c r="D232" s="63">
        <v>1000</v>
      </c>
      <c r="E232" s="64">
        <v>11.5</v>
      </c>
      <c r="F232" s="64">
        <f>50</f>
        <v>50</v>
      </c>
      <c r="G232" s="64">
        <f>$F232*0.07</f>
        <v>3.5000000000000004</v>
      </c>
      <c r="H232" s="64">
        <f>IF($C232="BUY",(($D232*$E232)+$F232+$G232)*(-1),IF($C232="SELL",($D232*$E232)-$F232-$G232))</f>
        <v>-11553.5</v>
      </c>
    </row>
    <row r="233" spans="1:8" ht="12" thickBot="1">
      <c r="A233" s="65"/>
      <c r="B233" s="65"/>
      <c r="C233" s="65"/>
      <c r="D233" s="66"/>
      <c r="E233" s="67"/>
      <c r="F233" s="67"/>
      <c r="G233" s="72" t="s">
        <v>14</v>
      </c>
      <c r="H233" s="72">
        <f>H232</f>
        <v>-11553.5</v>
      </c>
    </row>
    <row r="234" spans="1:8" ht="11.25">
      <c r="A234" s="62" t="s">
        <v>268</v>
      </c>
      <c r="B234" s="62" t="s">
        <v>227</v>
      </c>
      <c r="C234" s="62" t="s">
        <v>37</v>
      </c>
      <c r="D234" s="63">
        <v>200</v>
      </c>
      <c r="E234" s="64">
        <v>21</v>
      </c>
      <c r="F234" s="64">
        <f>($D234*$E234)*0.002</f>
        <v>8.4</v>
      </c>
      <c r="G234" s="64">
        <f>$F234*0.07</f>
        <v>0.5880000000000001</v>
      </c>
      <c r="H234" s="64">
        <f>IF($C234="BUY",(($D234*$E234)+$F234+$G234)*(-1),IF($C234="SELL",($D234*$E234)-$F234-$G234))</f>
        <v>4191.012000000001</v>
      </c>
    </row>
    <row r="235" spans="2:8" ht="11.25">
      <c r="B235" s="62" t="s">
        <v>259</v>
      </c>
      <c r="C235" s="62" t="s">
        <v>16</v>
      </c>
      <c r="D235" s="63">
        <v>1000</v>
      </c>
      <c r="E235" s="64">
        <v>8.3</v>
      </c>
      <c r="F235" s="64">
        <f>($D235*$E235)*0.002</f>
        <v>16.6</v>
      </c>
      <c r="G235" s="64">
        <f>$F235*0.07</f>
        <v>1.1620000000000001</v>
      </c>
      <c r="H235" s="64">
        <f>IF($C235="BUY",(($D235*$E235)+$F235+$G235)*(-1),IF($C235="SELL",($D235*$E235)-$F235-$G235))</f>
        <v>-8317.762</v>
      </c>
    </row>
    <row r="236" spans="2:10" ht="11.25">
      <c r="B236" s="62" t="s">
        <v>258</v>
      </c>
      <c r="C236" s="62" t="s">
        <v>37</v>
      </c>
      <c r="D236" s="63">
        <v>1000</v>
      </c>
      <c r="E236" s="64">
        <v>31.25</v>
      </c>
      <c r="F236" s="64">
        <f>($D236*$E236)*0.002</f>
        <v>62.5</v>
      </c>
      <c r="G236" s="64">
        <f>$F236*0.07</f>
        <v>4.375</v>
      </c>
      <c r="H236" s="64">
        <f>IF($C236="BUY",(($D236*$E236)+$F236+$G236)*(-1),IF($C236="SELL",($D236*$E236)-$F236-$G236))</f>
        <v>31183.125</v>
      </c>
      <c r="J236" s="70">
        <f>SUM(H228,H236)</f>
        <v>367.3199999999997</v>
      </c>
    </row>
    <row r="237" spans="1:8" ht="12" thickBot="1">
      <c r="A237" s="65"/>
      <c r="B237" s="65"/>
      <c r="C237" s="65"/>
      <c r="D237" s="66"/>
      <c r="E237" s="67"/>
      <c r="F237" s="67"/>
      <c r="G237" s="73" t="s">
        <v>38</v>
      </c>
      <c r="H237" s="73">
        <f>SUM(H234:H236)</f>
        <v>27056.375</v>
      </c>
    </row>
    <row r="238" spans="1:8" ht="11.25">
      <c r="A238" s="62" t="s">
        <v>275</v>
      </c>
      <c r="B238" s="62" t="s">
        <v>257</v>
      </c>
      <c r="C238" s="62" t="s">
        <v>16</v>
      </c>
      <c r="D238" s="63">
        <v>5000</v>
      </c>
      <c r="E238" s="64">
        <v>11.3</v>
      </c>
      <c r="F238" s="64">
        <f>($D238*$E238)*0.002</f>
        <v>113</v>
      </c>
      <c r="G238" s="64">
        <f>$F238*0.07</f>
        <v>7.910000000000001</v>
      </c>
      <c r="H238" s="64">
        <f>IF($C238="BUY",(($D238*$E238)+$F238+$G238)*(-1),IF($C238="SELL",($D238*$E238)-$F238-$G238))</f>
        <v>-56620.91</v>
      </c>
    </row>
    <row r="239" spans="2:8" ht="11.25">
      <c r="B239" s="62" t="s">
        <v>257</v>
      </c>
      <c r="C239" s="62" t="s">
        <v>37</v>
      </c>
      <c r="D239" s="63">
        <v>2300</v>
      </c>
      <c r="E239" s="64">
        <v>11.3</v>
      </c>
      <c r="F239" s="64">
        <f>($D239*$E239)*0.002</f>
        <v>51.980000000000004</v>
      </c>
      <c r="G239" s="64">
        <f>$F239*0.07</f>
        <v>3.6386000000000007</v>
      </c>
      <c r="H239" s="64">
        <f>IF($C239="BUY",(($D239*$E239)+$F239+$G239)*(-1),IF($C239="SELL",($D239*$E239)-$F239-$G239))</f>
        <v>25934.381400000002</v>
      </c>
    </row>
    <row r="240" spans="1:8" ht="12" thickBot="1">
      <c r="A240" s="65"/>
      <c r="B240" s="65"/>
      <c r="C240" s="65"/>
      <c r="D240" s="66"/>
      <c r="E240" s="67"/>
      <c r="F240" s="67"/>
      <c r="G240" s="72" t="s">
        <v>14</v>
      </c>
      <c r="H240" s="72">
        <f>SUM(H238:H239)</f>
        <v>-30686.5286</v>
      </c>
    </row>
    <row r="241" spans="1:8" ht="11.25">
      <c r="A241" s="62" t="s">
        <v>282</v>
      </c>
      <c r="B241" s="62" t="s">
        <v>257</v>
      </c>
      <c r="C241" s="62" t="s">
        <v>37</v>
      </c>
      <c r="D241" s="63">
        <v>2700</v>
      </c>
      <c r="E241" s="64">
        <v>11.2</v>
      </c>
      <c r="F241" s="64">
        <f>($D241*$E241)*0.002</f>
        <v>60.48</v>
      </c>
      <c r="G241" s="64">
        <f>$F241*0.07</f>
        <v>4.2336</v>
      </c>
      <c r="H241" s="64">
        <f>IF($C241="BUY",(($D241*$E241)+$F241+$G241)*(-1),IF($C241="SELL",($D241*$E241)-$F241-$G241))</f>
        <v>30175.286399999997</v>
      </c>
    </row>
    <row r="242" spans="2:8" ht="11.25">
      <c r="B242" s="62" t="s">
        <v>227</v>
      </c>
      <c r="C242" s="62" t="s">
        <v>37</v>
      </c>
      <c r="D242" s="63">
        <v>500</v>
      </c>
      <c r="E242" s="64">
        <v>17.5</v>
      </c>
      <c r="F242" s="64">
        <f>($D242*$E242)*0.002</f>
        <v>17.5</v>
      </c>
      <c r="G242" s="64">
        <f>$F242*0.07</f>
        <v>1.225</v>
      </c>
      <c r="H242" s="64">
        <f>IF($C242="BUY",(($D242*$E242)+$F242+$G242)*(-1),IF($C242="SELL",($D242*$E242)-$F242-$G242))</f>
        <v>8731.275</v>
      </c>
    </row>
    <row r="243" spans="2:8" ht="11.25">
      <c r="B243" s="62" t="s">
        <v>283</v>
      </c>
      <c r="C243" s="62" t="s">
        <v>16</v>
      </c>
      <c r="D243" s="63">
        <v>2000</v>
      </c>
      <c r="E243" s="64">
        <v>8.65</v>
      </c>
      <c r="F243" s="64">
        <f>($D243*$E243)*0.002</f>
        <v>34.6</v>
      </c>
      <c r="G243" s="64">
        <f>$F243*0.07</f>
        <v>2.422</v>
      </c>
      <c r="H243" s="64">
        <f>IF($C243="BUY",(($D243*$E243)+$F243+$G243)*(-1),IF($C243="SELL",($D243*$E243)-$F243-$G243))</f>
        <v>-17337.021999999997</v>
      </c>
    </row>
    <row r="244" spans="1:8" ht="12" thickBot="1">
      <c r="A244" s="65"/>
      <c r="B244" s="65"/>
      <c r="C244" s="65"/>
      <c r="D244" s="66"/>
      <c r="E244" s="67"/>
      <c r="F244" s="67"/>
      <c r="G244" s="73" t="s">
        <v>38</v>
      </c>
      <c r="H244" s="73">
        <f>SUM(H241:H243)</f>
        <v>21569.5394</v>
      </c>
    </row>
    <row r="245" spans="1:8" ht="11.25">
      <c r="A245" s="62" t="s">
        <v>285</v>
      </c>
      <c r="B245" s="62" t="s">
        <v>286</v>
      </c>
      <c r="C245" s="62" t="s">
        <v>16</v>
      </c>
      <c r="D245" s="63">
        <v>500</v>
      </c>
      <c r="E245" s="64">
        <v>47</v>
      </c>
      <c r="F245" s="64">
        <f>($D245*$E245)*0.002</f>
        <v>47</v>
      </c>
      <c r="G245" s="64">
        <f>$F245*0.07</f>
        <v>3.2900000000000005</v>
      </c>
      <c r="H245" s="64">
        <f>IF($C245="BUY",(($D245*$E245)+$F245+$G245)*(-1),IF($C245="SELL",($D245*$E245)-$F245-$G245))</f>
        <v>-23550.29</v>
      </c>
    </row>
    <row r="246" spans="2:10" ht="11.25">
      <c r="B246" s="62" t="s">
        <v>286</v>
      </c>
      <c r="C246" s="62" t="s">
        <v>37</v>
      </c>
      <c r="D246" s="63">
        <v>500</v>
      </c>
      <c r="E246" s="64">
        <v>49</v>
      </c>
      <c r="F246" s="64">
        <f>($D246*$E246)*0.002</f>
        <v>49</v>
      </c>
      <c r="G246" s="64">
        <f>$F246*0.07</f>
        <v>3.43</v>
      </c>
      <c r="H246" s="64">
        <f>IF($C246="BUY",(($D246*$E246)+$F246+$G246)*(-1),IF($C246="SELL",($D246*$E246)-$F246-$G246))</f>
        <v>24447.57</v>
      </c>
      <c r="J246" s="70">
        <f>SUM(H245:H246)</f>
        <v>897.2799999999988</v>
      </c>
    </row>
    <row r="247" spans="1:8" ht="12" thickBot="1">
      <c r="A247" s="65"/>
      <c r="B247" s="65"/>
      <c r="C247" s="65"/>
      <c r="D247" s="66"/>
      <c r="E247" s="67"/>
      <c r="F247" s="67"/>
      <c r="G247" s="73" t="s">
        <v>38</v>
      </c>
      <c r="H247" s="73">
        <f>SUM(H245:H246)</f>
        <v>897.2799999999988</v>
      </c>
    </row>
    <row r="248" spans="1:8" ht="11.25">
      <c r="A248" s="62" t="s">
        <v>288</v>
      </c>
      <c r="B248" s="62" t="s">
        <v>259</v>
      </c>
      <c r="C248" s="62" t="s">
        <v>37</v>
      </c>
      <c r="D248" s="63">
        <v>2000</v>
      </c>
      <c r="E248" s="64">
        <v>8.4</v>
      </c>
      <c r="F248" s="64">
        <v>50</v>
      </c>
      <c r="G248" s="64">
        <f>$F248*0.07</f>
        <v>3.5000000000000004</v>
      </c>
      <c r="H248" s="64">
        <f>IF($C248="BUY",(($D248*$E248)+$F248+$G248)*(-1),IF($C248="SELL",($D248*$E248)-$F248-$G248))</f>
        <v>16746.5</v>
      </c>
    </row>
    <row r="249" spans="1:10" ht="12" thickBot="1">
      <c r="A249" s="65"/>
      <c r="B249" s="65"/>
      <c r="C249" s="65"/>
      <c r="D249" s="66"/>
      <c r="E249" s="67"/>
      <c r="F249" s="67"/>
      <c r="G249" s="73" t="s">
        <v>38</v>
      </c>
      <c r="H249" s="73">
        <f>H248</f>
        <v>16746.5</v>
      </c>
      <c r="J249" s="70">
        <f>SUM(H219,H235,H248)</f>
        <v>211.19000000000233</v>
      </c>
    </row>
    <row r="250" spans="1:8" ht="11.25">
      <c r="A250" s="62" t="s">
        <v>290</v>
      </c>
      <c r="B250" s="62" t="s">
        <v>245</v>
      </c>
      <c r="C250" s="62" t="s">
        <v>16</v>
      </c>
      <c r="D250" s="63">
        <v>200</v>
      </c>
      <c r="E250" s="64">
        <v>122</v>
      </c>
      <c r="F250" s="64">
        <v>50</v>
      </c>
      <c r="G250" s="64">
        <f>$F250*0.07</f>
        <v>3.5000000000000004</v>
      </c>
      <c r="H250" s="64">
        <f>IF($C250="BUY",(($D250*$E250)+$F250+$G250)*(-1),IF($C250="SELL",($D250*$E250)-$F250-$G250))</f>
        <v>-24453.5</v>
      </c>
    </row>
    <row r="251" spans="1:8" ht="12" thickBot="1">
      <c r="A251" s="65"/>
      <c r="B251" s="65"/>
      <c r="C251" s="65"/>
      <c r="D251" s="66"/>
      <c r="E251" s="67"/>
      <c r="F251" s="67"/>
      <c r="G251" s="72" t="s">
        <v>14</v>
      </c>
      <c r="H251" s="72">
        <f>SUM(H250:H250)</f>
        <v>-24453.5</v>
      </c>
    </row>
    <row r="252" spans="1:10" ht="11.25">
      <c r="A252" s="62" t="s">
        <v>294</v>
      </c>
      <c r="B252" s="62" t="s">
        <v>245</v>
      </c>
      <c r="C252" s="62" t="s">
        <v>37</v>
      </c>
      <c r="D252" s="63">
        <v>4000</v>
      </c>
      <c r="E252" s="64">
        <v>12.5</v>
      </c>
      <c r="F252" s="64">
        <f>($D252*$E252)*0.002</f>
        <v>100</v>
      </c>
      <c r="G252" s="64">
        <f>$F252*0.07</f>
        <v>7.000000000000001</v>
      </c>
      <c r="H252" s="64">
        <f>IF($C252="BUY",(($D252*$E252)+$F252+$G252)*(-1),IF($C252="SELL",($D252*$E252)-$F252-$G252))</f>
        <v>49893</v>
      </c>
      <c r="J252" s="70">
        <f>SUM(H222,H227,H250,H252)</f>
        <v>1187.7119999999995</v>
      </c>
    </row>
    <row r="253" spans="2:8" ht="11.25">
      <c r="B253" s="62" t="s">
        <v>257</v>
      </c>
      <c r="C253" s="62" t="s">
        <v>16</v>
      </c>
      <c r="D253" s="63">
        <v>3000</v>
      </c>
      <c r="E253" s="64">
        <v>11.6</v>
      </c>
      <c r="F253" s="64">
        <f>($D253*$E253)*0.002</f>
        <v>69.60000000000001</v>
      </c>
      <c r="G253" s="64">
        <f>$F253*0.07</f>
        <v>4.872000000000001</v>
      </c>
      <c r="H253" s="64">
        <f>IF($C253="BUY",(($D253*$E253)+$F253+$G253)*(-1),IF($C253="SELL",($D253*$E253)-$F253-$G253))</f>
        <v>-34874.472</v>
      </c>
    </row>
    <row r="254" spans="1:8" ht="12" thickBot="1">
      <c r="A254" s="65"/>
      <c r="B254" s="65"/>
      <c r="C254" s="65"/>
      <c r="D254" s="66"/>
      <c r="E254" s="67"/>
      <c r="F254" s="67"/>
      <c r="G254" s="73" t="s">
        <v>38</v>
      </c>
      <c r="H254" s="73">
        <f>SUM(H252:H253)</f>
        <v>15018.527999999998</v>
      </c>
    </row>
    <row r="255" spans="1:8" ht="11.25">
      <c r="A255" s="62" t="s">
        <v>296</v>
      </c>
      <c r="B255" s="62" t="s">
        <v>227</v>
      </c>
      <c r="C255" s="62" t="s">
        <v>37</v>
      </c>
      <c r="D255" s="63">
        <v>300</v>
      </c>
      <c r="E255" s="64">
        <v>18.6</v>
      </c>
      <c r="F255" s="64">
        <v>25</v>
      </c>
      <c r="G255" s="64">
        <f>$F255*0.07</f>
        <v>1.7500000000000002</v>
      </c>
      <c r="H255" s="64">
        <f>IF($C255="BUY",(($D255*$E255)+$F255+$G255)*(-1),IF($C255="SELL",($D255*$E255)-$F255-$G255))</f>
        <v>5553.25</v>
      </c>
    </row>
    <row r="256" spans="2:10" ht="11.25">
      <c r="B256" s="62" t="s">
        <v>227</v>
      </c>
      <c r="C256" s="62" t="s">
        <v>16</v>
      </c>
      <c r="D256" s="63">
        <v>300</v>
      </c>
      <c r="E256" s="64">
        <v>18.2</v>
      </c>
      <c r="F256" s="64">
        <v>25</v>
      </c>
      <c r="G256" s="64">
        <f>$F256*0.07</f>
        <v>1.7500000000000002</v>
      </c>
      <c r="H256" s="64">
        <f>IF($C256="BUY",(($D256*$E256)+$F256+$G256)*(-1),IF($C256="SELL",($D256*$E256)-$F256-$G256))</f>
        <v>-5486.75</v>
      </c>
      <c r="J256" s="69"/>
    </row>
    <row r="257" spans="1:8" ht="12" thickBot="1">
      <c r="A257" s="65"/>
      <c r="B257" s="65"/>
      <c r="C257" s="65"/>
      <c r="D257" s="66"/>
      <c r="E257" s="67"/>
      <c r="F257" s="67"/>
      <c r="G257" s="73" t="s">
        <v>38</v>
      </c>
      <c r="H257" s="73">
        <f>SUM(H255:H256)</f>
        <v>66.5</v>
      </c>
    </row>
    <row r="258" spans="1:10" ht="11.25">
      <c r="A258" s="62" t="s">
        <v>302</v>
      </c>
      <c r="B258" s="62" t="s">
        <v>283</v>
      </c>
      <c r="C258" s="62" t="s">
        <v>37</v>
      </c>
      <c r="D258" s="63">
        <v>2000</v>
      </c>
      <c r="E258" s="64">
        <v>8.55</v>
      </c>
      <c r="F258" s="64">
        <f>($D258*$E258)*0.002</f>
        <v>34.2</v>
      </c>
      <c r="G258" s="64">
        <f>$F258*0.07</f>
        <v>2.3940000000000006</v>
      </c>
      <c r="H258" s="64">
        <f>IF($C258="BUY",(($D258*$E258)+$F258+$G258)*(-1),IF($C258="SELL",($D258*$E258)-$F258-$G258))</f>
        <v>17063.406</v>
      </c>
      <c r="J258" s="77">
        <f>SUM(H258,H243)</f>
        <v>-273.61599999999817</v>
      </c>
    </row>
    <row r="259" spans="2:8" ht="11.25">
      <c r="B259" s="62" t="s">
        <v>303</v>
      </c>
      <c r="C259" s="62" t="s">
        <v>16</v>
      </c>
      <c r="D259" s="63">
        <v>1000</v>
      </c>
      <c r="E259" s="64">
        <v>2.44</v>
      </c>
      <c r="F259" s="64">
        <f>($D259*$E259)*0.002</f>
        <v>4.88</v>
      </c>
      <c r="G259" s="64">
        <f>$F259*0.07</f>
        <v>0.3416</v>
      </c>
      <c r="H259" s="64">
        <f>IF($C259="BUY",(($D259*$E259)+$F259+$G259)*(-1),IF($C259="SELL",($D259*$E259)-$F259-$G259))</f>
        <v>-2445.2216000000003</v>
      </c>
    </row>
    <row r="260" spans="2:8" ht="11.25">
      <c r="B260" s="62" t="s">
        <v>304</v>
      </c>
      <c r="C260" s="62" t="s">
        <v>16</v>
      </c>
      <c r="D260" s="63">
        <v>3000</v>
      </c>
      <c r="E260" s="64">
        <v>9</v>
      </c>
      <c r="F260" s="64">
        <f>($D260*$E260)*0.002</f>
        <v>54</v>
      </c>
      <c r="G260" s="64">
        <f>$F260*0.07</f>
        <v>3.7800000000000002</v>
      </c>
      <c r="H260" s="64">
        <f>IF($C260="BUY",(($D260*$E260)+$F260+$G260)*(-1),IF($C260="SELL",($D260*$E260)-$F260-$G260))</f>
        <v>-27057.78</v>
      </c>
    </row>
    <row r="261" spans="1:8" ht="12" thickBot="1">
      <c r="A261" s="65"/>
      <c r="B261" s="65"/>
      <c r="C261" s="65"/>
      <c r="D261" s="66"/>
      <c r="E261" s="67"/>
      <c r="F261" s="67"/>
      <c r="G261" s="72" t="s">
        <v>14</v>
      </c>
      <c r="H261" s="72">
        <f>SUM(H258:H260)</f>
        <v>-12439.5956</v>
      </c>
    </row>
    <row r="262" spans="1:8" ht="11.25">
      <c r="A262" s="62" t="s">
        <v>305</v>
      </c>
      <c r="B262" s="62" t="s">
        <v>257</v>
      </c>
      <c r="C262" s="62" t="s">
        <v>37</v>
      </c>
      <c r="D262" s="63">
        <v>2000</v>
      </c>
      <c r="E262" s="64">
        <v>12.1</v>
      </c>
      <c r="F262" s="64">
        <v>50</v>
      </c>
      <c r="G262" s="64">
        <f>$F262*0.07</f>
        <v>3.5000000000000004</v>
      </c>
      <c r="H262" s="64">
        <f>IF($C262="BUY",(($D262*$E262)+$F262+$G262)*(-1),IF($C262="SELL",($D262*$E262)-$F262-$G262))</f>
        <v>24146.5</v>
      </c>
    </row>
    <row r="263" spans="1:8" ht="12" thickBot="1">
      <c r="A263" s="65"/>
      <c r="B263" s="65"/>
      <c r="C263" s="65"/>
      <c r="D263" s="66"/>
      <c r="E263" s="67"/>
      <c r="F263" s="67"/>
      <c r="G263" s="73" t="s">
        <v>38</v>
      </c>
      <c r="H263" s="73">
        <f>H262</f>
        <v>24146.5</v>
      </c>
    </row>
    <row r="264" spans="1:8" ht="11.25">
      <c r="A264" s="62" t="s">
        <v>310</v>
      </c>
      <c r="B264" s="62" t="s">
        <v>304</v>
      </c>
      <c r="C264" s="62" t="s">
        <v>16</v>
      </c>
      <c r="D264" s="63">
        <v>2000</v>
      </c>
      <c r="E264" s="64">
        <v>8.95</v>
      </c>
      <c r="F264" s="64">
        <v>25</v>
      </c>
      <c r="G264" s="64">
        <f>$F264*0.07</f>
        <v>1.7500000000000002</v>
      </c>
      <c r="H264" s="64">
        <f>IF($C264="BUY",(($D264*$E264)+$F264+$G264)*(-1),IF($C264="SELL",($D264*$E264)-$F264-$G264))</f>
        <v>-17926.75</v>
      </c>
    </row>
    <row r="265" spans="2:8" ht="11.25">
      <c r="B265" s="62" t="s">
        <v>303</v>
      </c>
      <c r="C265" s="62" t="s">
        <v>16</v>
      </c>
      <c r="D265" s="63">
        <v>2000</v>
      </c>
      <c r="E265" s="64">
        <v>2.58</v>
      </c>
      <c r="F265" s="64">
        <v>25</v>
      </c>
      <c r="G265" s="64">
        <f>$F265*0.07</f>
        <v>1.7500000000000002</v>
      </c>
      <c r="H265" s="64">
        <f>IF($C265="BUY",(($D265*$E265)+$F265+$G265)*(-1),IF($C265="SELL",($D265*$E265)-$F265-$G265))</f>
        <v>-5186.75</v>
      </c>
    </row>
    <row r="266" spans="1:8" ht="12" thickBot="1">
      <c r="A266" s="65"/>
      <c r="B266" s="65"/>
      <c r="C266" s="65"/>
      <c r="D266" s="66"/>
      <c r="E266" s="67"/>
      <c r="F266" s="67"/>
      <c r="G266" s="72" t="s">
        <v>14</v>
      </c>
      <c r="H266" s="72">
        <f>SUM(H264:H265)</f>
        <v>-23113.5</v>
      </c>
    </row>
    <row r="267" spans="1:8" ht="11.25">
      <c r="A267" s="62" t="s">
        <v>312</v>
      </c>
      <c r="B267" s="62" t="s">
        <v>304</v>
      </c>
      <c r="C267" s="62" t="s">
        <v>37</v>
      </c>
      <c r="D267" s="63">
        <v>2000</v>
      </c>
      <c r="E267" s="64">
        <v>9.05</v>
      </c>
      <c r="F267" s="64">
        <f>($D267*$E267)*0.002</f>
        <v>36.2</v>
      </c>
      <c r="G267" s="64">
        <f>$F267*0.07</f>
        <v>2.5340000000000003</v>
      </c>
      <c r="H267" s="64">
        <f>IF($C267="BUY",(($D267*$E267)+$F267+$G267)*(-1),IF($C267="SELL",($D267*$E267)-$F267-$G267))</f>
        <v>18061.266</v>
      </c>
    </row>
    <row r="268" spans="2:10" ht="11.25">
      <c r="B268" s="62" t="s">
        <v>227</v>
      </c>
      <c r="C268" s="62" t="s">
        <v>37</v>
      </c>
      <c r="D268" s="63">
        <v>800</v>
      </c>
      <c r="E268" s="64">
        <v>19.9</v>
      </c>
      <c r="F268" s="64">
        <f>($D268*$E268)*0.002</f>
        <v>31.839999999999996</v>
      </c>
      <c r="G268" s="64">
        <f>$F268*0.07</f>
        <v>2.2288</v>
      </c>
      <c r="H268" s="64">
        <f>IF($C268="BUY",(($D268*$E268)+$F268+$G268)*(-1),IF($C268="SELL",($D268*$E268)-$F268-$G268))</f>
        <v>15885.931199999997</v>
      </c>
      <c r="J268" s="77">
        <f>SUM(H268,H256,H255,H242,H234,H218,H203,H199,H191)</f>
        <v>-5018.309799999999</v>
      </c>
    </row>
    <row r="269" spans="2:8" ht="11.25">
      <c r="B269" s="62" t="s">
        <v>304</v>
      </c>
      <c r="C269" s="62" t="s">
        <v>16</v>
      </c>
      <c r="D269" s="63">
        <v>2000</v>
      </c>
      <c r="E269" s="64">
        <v>8.95</v>
      </c>
      <c r="F269" s="64">
        <f>($D269*$E269)*0.002</f>
        <v>35.800000000000004</v>
      </c>
      <c r="G269" s="64">
        <f>$F269*0.07</f>
        <v>2.5060000000000007</v>
      </c>
      <c r="H269" s="64">
        <f>IF($C269="BUY",(($D269*$E269)+$F269+$G269)*(-1),IF($C269="SELL",($D269*$E269)-$F269-$G269))</f>
        <v>-17938.306</v>
      </c>
    </row>
    <row r="270" spans="2:8" ht="11.25">
      <c r="B270" s="62" t="s">
        <v>303</v>
      </c>
      <c r="C270" s="62" t="s">
        <v>16</v>
      </c>
      <c r="D270" s="63">
        <v>2000</v>
      </c>
      <c r="E270" s="64">
        <v>2.58</v>
      </c>
      <c r="F270" s="64">
        <f>($D270*$E270)*0.002</f>
        <v>10.32</v>
      </c>
      <c r="G270" s="64">
        <f>$F270*0.07</f>
        <v>0.7224</v>
      </c>
      <c r="H270" s="64">
        <f>IF($C270="BUY",(($D270*$E270)+$F270+$G270)*(-1),IF($C270="SELL",($D270*$E270)-$F270-$G270))</f>
        <v>-5171.042399999999</v>
      </c>
    </row>
    <row r="271" spans="1:8" ht="12" thickBot="1">
      <c r="A271" s="65"/>
      <c r="B271" s="65"/>
      <c r="C271" s="65"/>
      <c r="D271" s="66"/>
      <c r="E271" s="67"/>
      <c r="F271" s="67"/>
      <c r="G271" s="73" t="s">
        <v>38</v>
      </c>
      <c r="H271" s="73">
        <f>SUM(H267:H270)</f>
        <v>10837.848799999996</v>
      </c>
    </row>
    <row r="272" spans="1:8" ht="11.25">
      <c r="A272" s="62" t="s">
        <v>315</v>
      </c>
      <c r="B272" s="62" t="s">
        <v>257</v>
      </c>
      <c r="C272" s="62" t="s">
        <v>37</v>
      </c>
      <c r="D272" s="63">
        <v>2000</v>
      </c>
      <c r="E272" s="64">
        <v>12.9</v>
      </c>
      <c r="F272" s="64">
        <f>($D272*$E272)*0.002</f>
        <v>51.6</v>
      </c>
      <c r="G272" s="64">
        <f>$F272*0.07</f>
        <v>3.6120000000000005</v>
      </c>
      <c r="H272" s="64">
        <f>IF($C272="BUY",(($D272*$E272)+$F272+$G272)*(-1),IF($C272="SELL",($D272*$E272)-$F272-$G272))</f>
        <v>25744.788</v>
      </c>
    </row>
    <row r="273" spans="1:8" ht="12" thickBot="1">
      <c r="A273" s="65"/>
      <c r="B273" s="65"/>
      <c r="C273" s="65"/>
      <c r="D273" s="66"/>
      <c r="E273" s="67"/>
      <c r="F273" s="67"/>
      <c r="G273" s="73" t="s">
        <v>38</v>
      </c>
      <c r="H273" s="73">
        <f>H272</f>
        <v>25744.788</v>
      </c>
    </row>
    <row r="274" spans="1:8" ht="11.25">
      <c r="A274" s="62" t="s">
        <v>318</v>
      </c>
      <c r="B274" s="62" t="s">
        <v>304</v>
      </c>
      <c r="C274" s="62" t="s">
        <v>37</v>
      </c>
      <c r="D274" s="63">
        <v>3000</v>
      </c>
      <c r="E274" s="64">
        <v>9.1</v>
      </c>
      <c r="F274" s="64">
        <f>($D274*$E274)*0.002</f>
        <v>54.6</v>
      </c>
      <c r="G274" s="64">
        <f>$F274*0.07</f>
        <v>3.8220000000000005</v>
      </c>
      <c r="H274" s="64">
        <f>IF($C274="BUY",(($D274*$E274)+$F274+$G274)*(-1),IF($C274="SELL",($D274*$E274)-$F274-$G274))</f>
        <v>27241.578</v>
      </c>
    </row>
    <row r="275" spans="2:8" ht="11.25">
      <c r="B275" s="62" t="s">
        <v>303</v>
      </c>
      <c r="C275" s="62" t="s">
        <v>16</v>
      </c>
      <c r="D275" s="63">
        <v>2000</v>
      </c>
      <c r="E275" s="64">
        <v>2.6</v>
      </c>
      <c r="F275" s="64">
        <f>($D275*$E275)*0.002</f>
        <v>10.4</v>
      </c>
      <c r="G275" s="64">
        <f>$F275*0.07</f>
        <v>0.7280000000000001</v>
      </c>
      <c r="H275" s="64">
        <f>IF($C275="BUY",(($D275*$E275)+$F275+$G275)*(-1),IF($C275="SELL",($D275*$E275)-$F275-$G275))</f>
        <v>-5211.128</v>
      </c>
    </row>
    <row r="276" spans="1:8" ht="12" thickBot="1">
      <c r="A276" s="65"/>
      <c r="B276" s="65"/>
      <c r="C276" s="65"/>
      <c r="D276" s="66"/>
      <c r="E276" s="67"/>
      <c r="F276" s="67"/>
      <c r="G276" s="73" t="s">
        <v>38</v>
      </c>
      <c r="H276" s="73">
        <f>SUM(H274:H275)</f>
        <v>22030.45</v>
      </c>
    </row>
    <row r="277" spans="1:10" ht="11.25">
      <c r="A277" s="62" t="s">
        <v>320</v>
      </c>
      <c r="B277" s="62" t="s">
        <v>257</v>
      </c>
      <c r="C277" s="62" t="s">
        <v>37</v>
      </c>
      <c r="D277" s="63">
        <v>2000</v>
      </c>
      <c r="E277" s="64">
        <v>13.7</v>
      </c>
      <c r="F277" s="64">
        <f aca="true" t="shared" si="4" ref="F277:F289">($D277*$E277)*0.002</f>
        <v>54.800000000000004</v>
      </c>
      <c r="G277" s="64">
        <f aca="true" t="shared" si="5" ref="G277:G347">$F277*0.07</f>
        <v>3.8360000000000007</v>
      </c>
      <c r="H277" s="64">
        <f aca="true" t="shared" si="6" ref="H277:H306">IF($C277="BUY",(($D277*$E277)+$F277+$G277)*(-1),IF($C277="SELL",($D277*$E277)-$F277-$G277))</f>
        <v>27341.364</v>
      </c>
      <c r="J277" s="70">
        <f>SUM(H224,H229:H230,H232,H238:H239,H241,H253,H262,H272,H277,H216)</f>
        <v>6642.995799999999</v>
      </c>
    </row>
    <row r="278" spans="2:8" ht="11.25">
      <c r="B278" s="62" t="s">
        <v>304</v>
      </c>
      <c r="C278" s="62" t="s">
        <v>16</v>
      </c>
      <c r="D278" s="63">
        <v>2000</v>
      </c>
      <c r="E278" s="64">
        <v>9.35</v>
      </c>
      <c r="F278" s="64">
        <f t="shared" si="4"/>
        <v>37.4</v>
      </c>
      <c r="G278" s="64">
        <f t="shared" si="5"/>
        <v>2.6180000000000003</v>
      </c>
      <c r="H278" s="64">
        <f t="shared" si="6"/>
        <v>-18740.018</v>
      </c>
    </row>
    <row r="279" spans="2:10" ht="11.25">
      <c r="B279" s="62" t="s">
        <v>304</v>
      </c>
      <c r="C279" s="62" t="s">
        <v>37</v>
      </c>
      <c r="D279" s="63">
        <v>2000</v>
      </c>
      <c r="E279" s="64">
        <v>9.45</v>
      </c>
      <c r="F279" s="64">
        <f t="shared" si="4"/>
        <v>37.800000000000004</v>
      </c>
      <c r="G279" s="64">
        <f t="shared" si="5"/>
        <v>2.6460000000000004</v>
      </c>
      <c r="H279" s="64">
        <f t="shared" si="6"/>
        <v>18859.554</v>
      </c>
      <c r="J279" s="69"/>
    </row>
    <row r="280" spans="2:8" ht="11.25">
      <c r="B280" s="62" t="s">
        <v>304</v>
      </c>
      <c r="C280" s="62" t="s">
        <v>16</v>
      </c>
      <c r="D280" s="63">
        <v>4000</v>
      </c>
      <c r="E280" s="64">
        <v>9.35</v>
      </c>
      <c r="F280" s="64">
        <f t="shared" si="4"/>
        <v>74.8</v>
      </c>
      <c r="G280" s="64">
        <f t="shared" si="5"/>
        <v>5.236000000000001</v>
      </c>
      <c r="H280" s="64">
        <f t="shared" si="6"/>
        <v>-37480.036</v>
      </c>
    </row>
    <row r="281" spans="2:8" ht="11.25">
      <c r="B281" s="62" t="s">
        <v>227</v>
      </c>
      <c r="C281" s="62" t="s">
        <v>16</v>
      </c>
      <c r="D281" s="63">
        <v>1000</v>
      </c>
      <c r="E281" s="64">
        <v>18.8</v>
      </c>
      <c r="F281" s="64">
        <f t="shared" si="4"/>
        <v>37.6</v>
      </c>
      <c r="G281" s="64">
        <f t="shared" si="5"/>
        <v>2.6320000000000006</v>
      </c>
      <c r="H281" s="64">
        <f t="shared" si="6"/>
        <v>-18840.232</v>
      </c>
    </row>
    <row r="282" spans="2:10" ht="11.25">
      <c r="B282" s="62" t="s">
        <v>304</v>
      </c>
      <c r="C282" s="62" t="s">
        <v>37</v>
      </c>
      <c r="D282" s="63">
        <v>4000</v>
      </c>
      <c r="E282" s="64">
        <v>9.25</v>
      </c>
      <c r="F282" s="64">
        <f t="shared" si="4"/>
        <v>74</v>
      </c>
      <c r="G282" s="64">
        <f t="shared" si="5"/>
        <v>5.180000000000001</v>
      </c>
      <c r="H282" s="64">
        <f t="shared" si="6"/>
        <v>36920.82</v>
      </c>
      <c r="J282" s="69"/>
    </row>
    <row r="283" spans="2:8" ht="11.25">
      <c r="B283" s="62" t="s">
        <v>304</v>
      </c>
      <c r="C283" s="62" t="s">
        <v>16</v>
      </c>
      <c r="D283" s="63">
        <v>3000</v>
      </c>
      <c r="E283" s="64">
        <v>9.15</v>
      </c>
      <c r="F283" s="64">
        <f t="shared" si="4"/>
        <v>54.9</v>
      </c>
      <c r="G283" s="64">
        <f t="shared" si="5"/>
        <v>3.8430000000000004</v>
      </c>
      <c r="H283" s="64">
        <f t="shared" si="6"/>
        <v>-27508.743000000002</v>
      </c>
    </row>
    <row r="284" spans="1:8" ht="12" thickBot="1">
      <c r="A284" s="65"/>
      <c r="B284" s="65"/>
      <c r="C284" s="65"/>
      <c r="D284" s="66"/>
      <c r="E284" s="67"/>
      <c r="F284" s="67"/>
      <c r="G284" s="72" t="s">
        <v>14</v>
      </c>
      <c r="H284" s="72">
        <f>SUM(H277:H283)</f>
        <v>-19447.291</v>
      </c>
    </row>
    <row r="285" spans="1:8" ht="11.25">
      <c r="A285" s="62" t="s">
        <v>323</v>
      </c>
      <c r="B285" s="62" t="s">
        <v>227</v>
      </c>
      <c r="C285" s="62" t="s">
        <v>16</v>
      </c>
      <c r="D285" s="63">
        <v>200</v>
      </c>
      <c r="E285" s="64">
        <v>19.1</v>
      </c>
      <c r="F285" s="64">
        <f t="shared" si="4"/>
        <v>7.6400000000000015</v>
      </c>
      <c r="G285" s="64">
        <f t="shared" si="5"/>
        <v>0.5348000000000002</v>
      </c>
      <c r="H285" s="64">
        <f t="shared" si="6"/>
        <v>-3828.1748000000002</v>
      </c>
    </row>
    <row r="286" spans="2:8" ht="11.25">
      <c r="B286" s="62" t="s">
        <v>303</v>
      </c>
      <c r="C286" s="62" t="s">
        <v>16</v>
      </c>
      <c r="D286" s="63">
        <v>1000</v>
      </c>
      <c r="E286" s="64">
        <v>2.68</v>
      </c>
      <c r="F286" s="64">
        <f t="shared" si="4"/>
        <v>5.36</v>
      </c>
      <c r="G286" s="64">
        <f t="shared" si="5"/>
        <v>0.37520000000000003</v>
      </c>
      <c r="H286" s="64">
        <f t="shared" si="6"/>
        <v>-2685.7352</v>
      </c>
    </row>
    <row r="287" spans="2:8" ht="11.25">
      <c r="B287" s="62" t="s">
        <v>303</v>
      </c>
      <c r="C287" s="62" t="s">
        <v>16</v>
      </c>
      <c r="D287" s="63">
        <v>2000</v>
      </c>
      <c r="E287" s="64">
        <v>2.66</v>
      </c>
      <c r="F287" s="64">
        <f t="shared" si="4"/>
        <v>10.64</v>
      </c>
      <c r="G287" s="64">
        <f t="shared" si="5"/>
        <v>0.7448000000000001</v>
      </c>
      <c r="H287" s="64">
        <f t="shared" si="6"/>
        <v>-5331.384800000001</v>
      </c>
    </row>
    <row r="288" spans="2:8" ht="11.25">
      <c r="B288" s="62" t="s">
        <v>324</v>
      </c>
      <c r="C288" s="62" t="s">
        <v>16</v>
      </c>
      <c r="D288" s="63">
        <v>200</v>
      </c>
      <c r="E288" s="64">
        <v>25.25</v>
      </c>
      <c r="F288" s="64">
        <f t="shared" si="4"/>
        <v>10.1</v>
      </c>
      <c r="G288" s="64">
        <f t="shared" si="5"/>
        <v>0.7070000000000001</v>
      </c>
      <c r="H288" s="64">
        <f t="shared" si="6"/>
        <v>-5060.807000000001</v>
      </c>
    </row>
    <row r="289" spans="2:8" ht="11.25">
      <c r="B289" s="62" t="s">
        <v>304</v>
      </c>
      <c r="C289" s="62" t="s">
        <v>16</v>
      </c>
      <c r="D289" s="63">
        <v>1000</v>
      </c>
      <c r="E289" s="64">
        <v>8.95</v>
      </c>
      <c r="F289" s="64">
        <f t="shared" si="4"/>
        <v>17.900000000000002</v>
      </c>
      <c r="G289" s="64">
        <f t="shared" si="5"/>
        <v>1.2530000000000003</v>
      </c>
      <c r="H289" s="64">
        <f t="shared" si="6"/>
        <v>-8969.153</v>
      </c>
    </row>
    <row r="290" spans="1:8" ht="12" thickBot="1">
      <c r="A290" s="65"/>
      <c r="B290" s="65"/>
      <c r="C290" s="65"/>
      <c r="D290" s="66"/>
      <c r="E290" s="67"/>
      <c r="F290" s="67"/>
      <c r="G290" s="72" t="s">
        <v>14</v>
      </c>
      <c r="H290" s="72">
        <f>SUM(H285:H289)</f>
        <v>-25875.254800000002</v>
      </c>
    </row>
    <row r="291" spans="1:10" ht="11.25">
      <c r="A291" s="62" t="s">
        <v>326</v>
      </c>
      <c r="B291" s="62" t="s">
        <v>304</v>
      </c>
      <c r="C291" s="62" t="s">
        <v>37</v>
      </c>
      <c r="D291" s="63">
        <v>1000</v>
      </c>
      <c r="E291" s="64">
        <v>9.1</v>
      </c>
      <c r="F291" s="64">
        <v>25</v>
      </c>
      <c r="G291" s="64">
        <f t="shared" si="5"/>
        <v>1.7500000000000002</v>
      </c>
      <c r="H291" s="64">
        <f t="shared" si="6"/>
        <v>9073.25</v>
      </c>
      <c r="J291" s="69"/>
    </row>
    <row r="292" spans="2:10" ht="11.25">
      <c r="B292" s="62" t="str">
        <f>B288</f>
        <v>UV</v>
      </c>
      <c r="C292" s="62" t="s">
        <v>16</v>
      </c>
      <c r="D292" s="63">
        <v>200</v>
      </c>
      <c r="E292" s="64">
        <v>25.25</v>
      </c>
      <c r="F292" s="64">
        <v>12.5</v>
      </c>
      <c r="G292" s="64">
        <f t="shared" si="5"/>
        <v>0.8750000000000001</v>
      </c>
      <c r="H292" s="64">
        <f t="shared" si="6"/>
        <v>-5063.375</v>
      </c>
      <c r="J292" s="69"/>
    </row>
    <row r="293" spans="2:8" ht="11.25">
      <c r="B293" s="62" t="str">
        <f>B288</f>
        <v>UV</v>
      </c>
      <c r="C293" s="62" t="s">
        <v>16</v>
      </c>
      <c r="D293" s="63">
        <v>200</v>
      </c>
      <c r="E293" s="64">
        <v>25</v>
      </c>
      <c r="F293" s="64">
        <v>12.5</v>
      </c>
      <c r="G293" s="64">
        <f t="shared" si="5"/>
        <v>0.8750000000000001</v>
      </c>
      <c r="H293" s="64">
        <f t="shared" si="6"/>
        <v>-5013.375</v>
      </c>
    </row>
    <row r="294" spans="1:10" ht="12" thickBot="1">
      <c r="A294" s="65"/>
      <c r="B294" s="65"/>
      <c r="C294" s="65"/>
      <c r="D294" s="66"/>
      <c r="E294" s="67"/>
      <c r="F294" s="67"/>
      <c r="G294" s="72" t="s">
        <v>14</v>
      </c>
      <c r="H294" s="72">
        <f>SUM(H291:H293)</f>
        <v>-1003.5</v>
      </c>
      <c r="J294" s="69"/>
    </row>
    <row r="295" spans="1:8" ht="11.25">
      <c r="A295" s="62" t="s">
        <v>330</v>
      </c>
      <c r="B295" s="62" t="s">
        <v>303</v>
      </c>
      <c r="C295" s="62" t="s">
        <v>37</v>
      </c>
      <c r="D295" s="63">
        <v>3000</v>
      </c>
      <c r="E295" s="64">
        <v>2.86</v>
      </c>
      <c r="F295" s="64">
        <f>($D295*$E295)*0.002</f>
        <v>17.16</v>
      </c>
      <c r="G295" s="64">
        <f t="shared" si="5"/>
        <v>1.2012</v>
      </c>
      <c r="H295" s="64">
        <f t="shared" si="6"/>
        <v>8561.6388</v>
      </c>
    </row>
    <row r="296" spans="2:8" ht="11.25">
      <c r="B296" s="62" t="s">
        <v>304</v>
      </c>
      <c r="C296" s="62" t="s">
        <v>16</v>
      </c>
      <c r="D296" s="63">
        <v>1000</v>
      </c>
      <c r="E296" s="64">
        <v>9</v>
      </c>
      <c r="F296" s="64">
        <f>($D296*$E296)*0.002</f>
        <v>18</v>
      </c>
      <c r="G296" s="64">
        <f t="shared" si="5"/>
        <v>1.2600000000000002</v>
      </c>
      <c r="H296" s="64">
        <f t="shared" si="6"/>
        <v>-9019.26</v>
      </c>
    </row>
    <row r="297" spans="2:8" ht="11.25">
      <c r="B297" s="62" t="s">
        <v>304</v>
      </c>
      <c r="C297" s="62" t="s">
        <v>16</v>
      </c>
      <c r="D297" s="63">
        <v>1000</v>
      </c>
      <c r="E297" s="64">
        <v>8.9</v>
      </c>
      <c r="F297" s="64">
        <f>($D297*$E297)*0.002</f>
        <v>17.8</v>
      </c>
      <c r="G297" s="64">
        <f t="shared" si="5"/>
        <v>1.2460000000000002</v>
      </c>
      <c r="H297" s="64">
        <f t="shared" si="6"/>
        <v>-8919.045999999998</v>
      </c>
    </row>
    <row r="298" spans="2:8" ht="11.25">
      <c r="B298" s="62" t="s">
        <v>283</v>
      </c>
      <c r="C298" s="62" t="s">
        <v>16</v>
      </c>
      <c r="D298" s="63">
        <v>1000</v>
      </c>
      <c r="E298" s="64">
        <v>8.7</v>
      </c>
      <c r="F298" s="64">
        <f>($D298*$E298)*0.002</f>
        <v>17.400000000000002</v>
      </c>
      <c r="G298" s="64">
        <f t="shared" si="5"/>
        <v>1.2180000000000002</v>
      </c>
      <c r="H298" s="64">
        <f t="shared" si="6"/>
        <v>-8718.618</v>
      </c>
    </row>
    <row r="299" spans="1:8" ht="12" thickBot="1">
      <c r="A299" s="65"/>
      <c r="B299" s="65"/>
      <c r="C299" s="65"/>
      <c r="D299" s="66"/>
      <c r="E299" s="67"/>
      <c r="F299" s="67"/>
      <c r="G299" s="72" t="s">
        <v>14</v>
      </c>
      <c r="H299" s="72">
        <f>SUM(H295:H298)</f>
        <v>-18095.2852</v>
      </c>
    </row>
    <row r="300" spans="1:8" ht="11.25">
      <c r="A300" s="62" t="s">
        <v>332</v>
      </c>
      <c r="B300" s="62" t="s">
        <v>283</v>
      </c>
      <c r="C300" s="62" t="s">
        <v>16</v>
      </c>
      <c r="D300" s="63">
        <v>1000</v>
      </c>
      <c r="E300" s="64">
        <v>8.3</v>
      </c>
      <c r="F300" s="64">
        <f>($D300*$E300)*0.002</f>
        <v>16.6</v>
      </c>
      <c r="G300" s="64">
        <f t="shared" si="5"/>
        <v>1.1620000000000001</v>
      </c>
      <c r="H300" s="64">
        <f t="shared" si="6"/>
        <v>-8317.762</v>
      </c>
    </row>
    <row r="301" spans="2:10" ht="11.25">
      <c r="B301" s="62" t="s">
        <v>333</v>
      </c>
      <c r="C301" s="62" t="s">
        <v>16</v>
      </c>
      <c r="D301" s="63">
        <v>200</v>
      </c>
      <c r="E301" s="64">
        <v>27.5</v>
      </c>
      <c r="F301" s="64">
        <f>($D301*$E301)*0.002</f>
        <v>11</v>
      </c>
      <c r="G301" s="64">
        <f t="shared" si="5"/>
        <v>0.77</v>
      </c>
      <c r="H301" s="64">
        <f t="shared" si="6"/>
        <v>-5511.77</v>
      </c>
      <c r="J301" s="69"/>
    </row>
    <row r="302" spans="2:8" ht="11.25">
      <c r="B302" s="62" t="s">
        <v>304</v>
      </c>
      <c r="C302" s="62" t="s">
        <v>37</v>
      </c>
      <c r="D302" s="63">
        <v>1000</v>
      </c>
      <c r="E302" s="64">
        <v>8.95</v>
      </c>
      <c r="F302" s="64">
        <f>($D302*$E302)*0.002</f>
        <v>17.900000000000002</v>
      </c>
      <c r="G302" s="64">
        <f t="shared" si="5"/>
        <v>1.2530000000000003</v>
      </c>
      <c r="H302" s="64">
        <f t="shared" si="6"/>
        <v>8930.847</v>
      </c>
    </row>
    <row r="303" spans="2:8" ht="11.25">
      <c r="B303" s="62" t="s">
        <v>304</v>
      </c>
      <c r="C303" s="62" t="s">
        <v>37</v>
      </c>
      <c r="D303" s="63">
        <v>2000</v>
      </c>
      <c r="E303" s="64">
        <v>9</v>
      </c>
      <c r="F303" s="64">
        <f>($D303*$E303)*0.002</f>
        <v>36</v>
      </c>
      <c r="G303" s="64">
        <f t="shared" si="5"/>
        <v>2.5200000000000005</v>
      </c>
      <c r="H303" s="64">
        <f t="shared" si="6"/>
        <v>17961.48</v>
      </c>
    </row>
    <row r="304" spans="1:8" ht="12" thickBot="1">
      <c r="A304" s="65"/>
      <c r="B304" s="65"/>
      <c r="C304" s="65"/>
      <c r="D304" s="66"/>
      <c r="E304" s="67"/>
      <c r="F304" s="67"/>
      <c r="G304" s="73" t="s">
        <v>38</v>
      </c>
      <c r="H304" s="73">
        <f>SUM(H300:H303)</f>
        <v>13062.794999999998</v>
      </c>
    </row>
    <row r="305" spans="1:10" ht="11.25">
      <c r="A305" s="62" t="s">
        <v>335</v>
      </c>
      <c r="B305" s="62" t="s">
        <v>333</v>
      </c>
      <c r="C305" s="62" t="s">
        <v>37</v>
      </c>
      <c r="D305" s="63">
        <v>200</v>
      </c>
      <c r="E305" s="64">
        <v>28</v>
      </c>
      <c r="F305" s="64">
        <v>40</v>
      </c>
      <c r="G305" s="64">
        <f t="shared" si="5"/>
        <v>2.8000000000000003</v>
      </c>
      <c r="H305" s="64">
        <f t="shared" si="6"/>
        <v>5557.2</v>
      </c>
      <c r="J305" s="70">
        <f>SUM(H305,H301)</f>
        <v>45.42999999999938</v>
      </c>
    </row>
    <row r="306" spans="2:8" ht="11.25">
      <c r="B306" s="62" t="s">
        <v>336</v>
      </c>
      <c r="C306" s="62" t="s">
        <v>16</v>
      </c>
      <c r="D306" s="63">
        <v>2000</v>
      </c>
      <c r="E306" s="64">
        <v>2.5</v>
      </c>
      <c r="F306" s="64">
        <f>($D306*$E306)*0.002</f>
        <v>10</v>
      </c>
      <c r="G306" s="64">
        <f t="shared" si="5"/>
        <v>0.7000000000000001</v>
      </c>
      <c r="H306" s="64">
        <f t="shared" si="6"/>
        <v>-5010.7</v>
      </c>
    </row>
    <row r="307" spans="1:8" ht="12" thickBot="1">
      <c r="A307" s="65"/>
      <c r="B307" s="65"/>
      <c r="C307" s="65"/>
      <c r="D307" s="66"/>
      <c r="E307" s="67"/>
      <c r="F307" s="67"/>
      <c r="G307" s="73" t="s">
        <v>38</v>
      </c>
      <c r="H307" s="73">
        <f>SUM(H305:H306)</f>
        <v>546.5</v>
      </c>
    </row>
    <row r="308" spans="1:10" ht="11.25">
      <c r="A308" s="62" t="s">
        <v>338</v>
      </c>
      <c r="B308" s="62" t="s">
        <v>227</v>
      </c>
      <c r="C308" s="62" t="s">
        <v>37</v>
      </c>
      <c r="D308" s="63">
        <v>1200</v>
      </c>
      <c r="E308" s="64">
        <v>19.9</v>
      </c>
      <c r="F308" s="64">
        <f>($D308*$E308)*0.002</f>
        <v>47.76</v>
      </c>
      <c r="G308" s="64">
        <f t="shared" si="5"/>
        <v>3.3432000000000004</v>
      </c>
      <c r="H308" s="64">
        <f>IF($C308="BUY",(($D308*$E308)+$F308+$G308)*(-1),IF($C308="SELL",($D308*$E308)-$F308-$G308))</f>
        <v>23828.896800000002</v>
      </c>
      <c r="J308" s="70">
        <f>SUM(H308,H285,H281)</f>
        <v>1160.4900000000016</v>
      </c>
    </row>
    <row r="309" spans="2:8" ht="11.25">
      <c r="B309" s="62" t="s">
        <v>303</v>
      </c>
      <c r="C309" s="62" t="s">
        <v>16</v>
      </c>
      <c r="D309" s="63">
        <v>3000</v>
      </c>
      <c r="E309" s="64">
        <v>2.88</v>
      </c>
      <c r="F309" s="64">
        <f>($D309*$E309)*0.002</f>
        <v>17.28</v>
      </c>
      <c r="G309" s="64">
        <f t="shared" si="5"/>
        <v>1.2096000000000002</v>
      </c>
      <c r="H309" s="64">
        <f>IF($C309="BUY",(($D309*$E309)+$F309+$G309)*(-1),IF($C309="SELL",($D309*$E309)-$F309-$G309))</f>
        <v>-8658.4896</v>
      </c>
    </row>
    <row r="310" spans="2:8" ht="11.25">
      <c r="B310" s="62" t="s">
        <v>341</v>
      </c>
      <c r="C310" s="62" t="s">
        <v>16</v>
      </c>
      <c r="D310" s="63">
        <v>500</v>
      </c>
      <c r="E310" s="64">
        <v>17.5</v>
      </c>
      <c r="F310" s="64">
        <f>($D310*$E310)*0.002</f>
        <v>17.5</v>
      </c>
      <c r="G310" s="64">
        <f t="shared" si="5"/>
        <v>1.225</v>
      </c>
      <c r="H310" s="64">
        <f>IF($C310="BUY",(($D310*$E310)+$F310+$G310)*(-1),IF($C310="SELL",($D310*$E310)-$F310-$G310))</f>
        <v>-8768.725</v>
      </c>
    </row>
    <row r="311" spans="2:8" ht="11.25">
      <c r="B311" s="62" t="s">
        <v>340</v>
      </c>
      <c r="C311" s="62" t="s">
        <v>16</v>
      </c>
      <c r="D311" s="63">
        <v>500</v>
      </c>
      <c r="E311" s="64">
        <v>25.75</v>
      </c>
      <c r="F311" s="64">
        <f>($D311*$E311)*0.002</f>
        <v>25.75</v>
      </c>
      <c r="G311" s="64">
        <f t="shared" si="5"/>
        <v>1.8025000000000002</v>
      </c>
      <c r="H311" s="64">
        <f>IF($C311="BUY",(($D311*$E311)+$F311+$G311)*(-1),IF($C311="SELL",($D311*$E311)-$F311-$G311))</f>
        <v>-12902.5525</v>
      </c>
    </row>
    <row r="312" spans="1:8" ht="12" thickBot="1">
      <c r="A312" s="65"/>
      <c r="B312" s="65"/>
      <c r="C312" s="65"/>
      <c r="D312" s="66"/>
      <c r="E312" s="67"/>
      <c r="F312" s="67"/>
      <c r="G312" s="72" t="s">
        <v>14</v>
      </c>
      <c r="H312" s="72">
        <f>SUM(H308:H311)</f>
        <v>-6500.870299999999</v>
      </c>
    </row>
    <row r="313" spans="1:8" ht="11.25">
      <c r="A313" s="62" t="s">
        <v>343</v>
      </c>
      <c r="B313" s="62" t="s">
        <v>303</v>
      </c>
      <c r="C313" s="62" t="s">
        <v>37</v>
      </c>
      <c r="D313" s="63">
        <v>2500</v>
      </c>
      <c r="E313" s="64">
        <v>3.08</v>
      </c>
      <c r="F313" s="64">
        <f>($D313*$E313)*0.002</f>
        <v>15.4</v>
      </c>
      <c r="G313" s="64">
        <f t="shared" si="5"/>
        <v>1.078</v>
      </c>
      <c r="H313" s="64">
        <f>IF($C313="BUY",(($D313*$E313)+$F313+$G313)*(-1),IF($C313="SELL",($D313*$E313)-$F313-$G313))</f>
        <v>7683.522</v>
      </c>
    </row>
    <row r="314" spans="2:10" ht="11.25">
      <c r="B314" s="62" t="s">
        <v>341</v>
      </c>
      <c r="C314" s="62" t="s">
        <v>37</v>
      </c>
      <c r="D314" s="63">
        <v>500</v>
      </c>
      <c r="E314" s="64">
        <v>17.9</v>
      </c>
      <c r="F314" s="64">
        <f>($D314*$E314)*0.002</f>
        <v>17.900000000000002</v>
      </c>
      <c r="G314" s="64">
        <f t="shared" si="5"/>
        <v>1.2530000000000003</v>
      </c>
      <c r="H314" s="64">
        <f>IF($C314="BUY",(($D314*$E314)+$F314+$G314)*(-1),IF($C314="SELL",($D314*$E314)-$F314-$G314))</f>
        <v>8930.847</v>
      </c>
      <c r="J314" s="70">
        <f>SUM(H314,H310)</f>
        <v>162.1219999999994</v>
      </c>
    </row>
    <row r="315" spans="2:8" ht="11.25">
      <c r="B315" s="62" t="s">
        <v>303</v>
      </c>
      <c r="C315" s="62" t="s">
        <v>16</v>
      </c>
      <c r="D315" s="63">
        <v>4000</v>
      </c>
      <c r="E315" s="64">
        <v>3.04</v>
      </c>
      <c r="F315" s="64">
        <f>($D315*$E315)*0.002</f>
        <v>24.32</v>
      </c>
      <c r="G315" s="64">
        <f t="shared" si="5"/>
        <v>1.7024000000000001</v>
      </c>
      <c r="H315" s="64">
        <f>IF($C315="BUY",(($D315*$E315)+$F315+$G315)*(-1),IF($C315="SELL",($D315*$E315)-$F315-$G315))</f>
        <v>-12186.0224</v>
      </c>
    </row>
    <row r="316" spans="1:8" ht="12" thickBot="1">
      <c r="A316" s="65"/>
      <c r="B316" s="65"/>
      <c r="C316" s="65"/>
      <c r="D316" s="66"/>
      <c r="E316" s="67"/>
      <c r="F316" s="67"/>
      <c r="G316" s="73" t="s">
        <v>38</v>
      </c>
      <c r="H316" s="73">
        <f>SUM(H313:H315)</f>
        <v>4428.346599999999</v>
      </c>
    </row>
    <row r="317" spans="1:8" ht="11.25">
      <c r="A317" s="62" t="s">
        <v>346</v>
      </c>
      <c r="B317" s="62" t="s">
        <v>347</v>
      </c>
      <c r="C317" s="62" t="s">
        <v>16</v>
      </c>
      <c r="D317" s="63">
        <v>600</v>
      </c>
      <c r="E317" s="64">
        <v>19</v>
      </c>
      <c r="F317" s="64">
        <f aca="true" t="shared" si="7" ref="F317:F327">($D317*$E317)*0.002</f>
        <v>22.8</v>
      </c>
      <c r="G317" s="64">
        <f t="shared" si="5"/>
        <v>1.5960000000000003</v>
      </c>
      <c r="H317" s="64">
        <f aca="true" t="shared" si="8" ref="H317:H353">IF($C317="BUY",(($D317*$E317)+$F317+$G317)*(-1),IF($C317="SELL",($D317*$E317)-$F317-$G317))</f>
        <v>-11424.395999999999</v>
      </c>
    </row>
    <row r="318" spans="2:10" ht="11.25">
      <c r="B318" s="62" t="s">
        <v>347</v>
      </c>
      <c r="C318" s="62" t="s">
        <v>37</v>
      </c>
      <c r="D318" s="63">
        <v>600</v>
      </c>
      <c r="E318" s="64">
        <v>19.2</v>
      </c>
      <c r="F318" s="64">
        <f t="shared" si="7"/>
        <v>23.04</v>
      </c>
      <c r="G318" s="64">
        <f t="shared" si="5"/>
        <v>1.6128</v>
      </c>
      <c r="H318" s="64">
        <f t="shared" si="8"/>
        <v>11495.347199999998</v>
      </c>
      <c r="J318" s="70">
        <f>SUM(H318,H317)</f>
        <v>70.95119999999952</v>
      </c>
    </row>
    <row r="319" spans="2:8" ht="11.25">
      <c r="B319" s="62" t="s">
        <v>283</v>
      </c>
      <c r="C319" s="62" t="s">
        <v>37</v>
      </c>
      <c r="D319" s="63">
        <v>1000</v>
      </c>
      <c r="E319" s="64">
        <v>9</v>
      </c>
      <c r="F319" s="64">
        <f t="shared" si="7"/>
        <v>18</v>
      </c>
      <c r="G319" s="64">
        <f t="shared" si="5"/>
        <v>1.2600000000000002</v>
      </c>
      <c r="H319" s="64">
        <f t="shared" si="8"/>
        <v>8980.74</v>
      </c>
    </row>
    <row r="320" spans="2:8" ht="11.25">
      <c r="B320" s="62" t="s">
        <v>303</v>
      </c>
      <c r="C320" s="62" t="s">
        <v>37</v>
      </c>
      <c r="D320" s="63">
        <v>2500</v>
      </c>
      <c r="E320" s="64">
        <v>3.12</v>
      </c>
      <c r="F320" s="64">
        <f t="shared" si="7"/>
        <v>15.6</v>
      </c>
      <c r="G320" s="64">
        <f t="shared" si="5"/>
        <v>1.092</v>
      </c>
      <c r="H320" s="64">
        <f t="shared" si="8"/>
        <v>7783.308</v>
      </c>
    </row>
    <row r="321" spans="2:10" ht="11.25">
      <c r="B321" s="62" t="s">
        <v>283</v>
      </c>
      <c r="C321" s="62" t="s">
        <v>37</v>
      </c>
      <c r="D321" s="63">
        <v>1000</v>
      </c>
      <c r="E321" s="64">
        <v>9.05</v>
      </c>
      <c r="F321" s="64">
        <f t="shared" si="7"/>
        <v>18.1</v>
      </c>
      <c r="G321" s="64">
        <f t="shared" si="5"/>
        <v>1.2670000000000001</v>
      </c>
      <c r="H321" s="64">
        <f t="shared" si="8"/>
        <v>9030.633</v>
      </c>
      <c r="J321" s="70">
        <f>SUM(H321,H319,H300,H298,)</f>
        <v>974.9929999999986</v>
      </c>
    </row>
    <row r="322" spans="2:8" ht="11.25">
      <c r="B322" s="62" t="s">
        <v>303</v>
      </c>
      <c r="C322" s="62" t="s">
        <v>37</v>
      </c>
      <c r="D322" s="63">
        <v>5000</v>
      </c>
      <c r="E322" s="64">
        <v>3.2</v>
      </c>
      <c r="F322" s="64">
        <f t="shared" si="7"/>
        <v>32</v>
      </c>
      <c r="G322" s="64">
        <f t="shared" si="5"/>
        <v>2.24</v>
      </c>
      <c r="H322" s="64">
        <f t="shared" si="8"/>
        <v>15965.76</v>
      </c>
    </row>
    <row r="323" spans="2:10" ht="11.25">
      <c r="B323" s="62" t="s">
        <v>303</v>
      </c>
      <c r="C323" s="62" t="s">
        <v>37</v>
      </c>
      <c r="D323" s="63">
        <v>2000</v>
      </c>
      <c r="E323" s="64">
        <v>3.24</v>
      </c>
      <c r="F323" s="64">
        <f t="shared" si="7"/>
        <v>12.96</v>
      </c>
      <c r="G323" s="64">
        <f t="shared" si="5"/>
        <v>0.9072000000000001</v>
      </c>
      <c r="H323" s="64">
        <f t="shared" si="8"/>
        <v>6466.1328</v>
      </c>
      <c r="J323" s="69"/>
    </row>
    <row r="324" spans="2:10" ht="11.25">
      <c r="B324" s="62" t="s">
        <v>336</v>
      </c>
      <c r="C324" s="62" t="s">
        <v>37</v>
      </c>
      <c r="D324" s="63">
        <v>2000</v>
      </c>
      <c r="E324" s="64">
        <v>2.8</v>
      </c>
      <c r="F324" s="64">
        <f t="shared" si="7"/>
        <v>11.200000000000001</v>
      </c>
      <c r="G324" s="64">
        <f t="shared" si="5"/>
        <v>0.7840000000000001</v>
      </c>
      <c r="H324" s="64">
        <f t="shared" si="8"/>
        <v>5588.0160000000005</v>
      </c>
      <c r="J324" s="70">
        <f>SUM(H324,H306)</f>
        <v>577.3160000000007</v>
      </c>
    </row>
    <row r="325" spans="2:8" ht="11.25">
      <c r="B325" s="62" t="s">
        <v>340</v>
      </c>
      <c r="C325" s="62" t="s">
        <v>16</v>
      </c>
      <c r="D325" s="63">
        <v>300</v>
      </c>
      <c r="E325" s="64">
        <v>26.5</v>
      </c>
      <c r="F325" s="64">
        <f t="shared" si="7"/>
        <v>15.9</v>
      </c>
      <c r="G325" s="64">
        <f t="shared" si="5"/>
        <v>1.1130000000000002</v>
      </c>
      <c r="H325" s="64">
        <f t="shared" si="8"/>
        <v>-7967.013</v>
      </c>
    </row>
    <row r="326" spans="2:8" ht="11.25">
      <c r="B326" s="62" t="s">
        <v>336</v>
      </c>
      <c r="C326" s="62" t="s">
        <v>16</v>
      </c>
      <c r="D326" s="63">
        <v>1000</v>
      </c>
      <c r="E326" s="64">
        <v>2.64</v>
      </c>
      <c r="F326" s="64">
        <f t="shared" si="7"/>
        <v>5.28</v>
      </c>
      <c r="G326" s="64">
        <f t="shared" si="5"/>
        <v>0.36960000000000004</v>
      </c>
      <c r="H326" s="64">
        <f t="shared" si="8"/>
        <v>-2645.6496</v>
      </c>
    </row>
    <row r="327" spans="2:8" ht="11.25">
      <c r="B327" s="62" t="s">
        <v>336</v>
      </c>
      <c r="C327" s="62" t="s">
        <v>16</v>
      </c>
      <c r="D327" s="63">
        <v>1000</v>
      </c>
      <c r="E327" s="64">
        <v>2.56</v>
      </c>
      <c r="F327" s="64">
        <f t="shared" si="7"/>
        <v>5.12</v>
      </c>
      <c r="G327" s="64">
        <f t="shared" si="5"/>
        <v>0.35840000000000005</v>
      </c>
      <c r="H327" s="64">
        <f t="shared" si="8"/>
        <v>-2565.4784</v>
      </c>
    </row>
    <row r="328" spans="1:8" ht="12" thickBot="1">
      <c r="A328" s="65"/>
      <c r="B328" s="65"/>
      <c r="C328" s="65"/>
      <c r="D328" s="66"/>
      <c r="E328" s="67"/>
      <c r="F328" s="67"/>
      <c r="G328" s="73" t="s">
        <v>38</v>
      </c>
      <c r="H328" s="73">
        <f>SUM(H317:H327)</f>
        <v>40707.40000000001</v>
      </c>
    </row>
    <row r="329" spans="1:8" ht="11.25">
      <c r="A329" s="62" t="s">
        <v>350</v>
      </c>
      <c r="B329" s="62" t="s">
        <v>303</v>
      </c>
      <c r="C329" s="62" t="s">
        <v>37</v>
      </c>
      <c r="D329" s="63">
        <v>1000</v>
      </c>
      <c r="E329" s="64">
        <v>3.08</v>
      </c>
      <c r="F329" s="64">
        <v>8.99</v>
      </c>
      <c r="G329" s="64">
        <f t="shared" si="5"/>
        <v>0.6293000000000001</v>
      </c>
      <c r="H329" s="64">
        <f t="shared" si="8"/>
        <v>3070.3807</v>
      </c>
    </row>
    <row r="330" spans="2:10" ht="11.25">
      <c r="B330" s="62" t="s">
        <v>303</v>
      </c>
      <c r="C330" s="62" t="s">
        <v>37</v>
      </c>
      <c r="D330" s="63">
        <v>1000</v>
      </c>
      <c r="E330" s="64">
        <v>3.12</v>
      </c>
      <c r="F330" s="64">
        <v>9.07</v>
      </c>
      <c r="G330" s="64">
        <f t="shared" si="5"/>
        <v>0.6349000000000001</v>
      </c>
      <c r="H330" s="64">
        <f t="shared" si="8"/>
        <v>3110.2951</v>
      </c>
      <c r="J330" s="70">
        <f>SUM(H329:H330,H322:H323,H320,H315,H313,H309,H295,H287,H286,H275,H270,H265,H259,)</f>
        <v>5765.263399999996</v>
      </c>
    </row>
    <row r="331" spans="2:8" ht="11.25">
      <c r="B331" s="62" t="s">
        <v>352</v>
      </c>
      <c r="C331" s="62" t="s">
        <v>16</v>
      </c>
      <c r="D331" s="63">
        <v>100</v>
      </c>
      <c r="E331" s="64">
        <v>26.5</v>
      </c>
      <c r="F331" s="64">
        <v>8.13</v>
      </c>
      <c r="G331" s="64">
        <f t="shared" si="5"/>
        <v>0.5691000000000002</v>
      </c>
      <c r="H331" s="64">
        <f t="shared" si="8"/>
        <v>-2658.6991000000003</v>
      </c>
    </row>
    <row r="332" spans="2:8" ht="11.25">
      <c r="B332" s="62" t="s">
        <v>324</v>
      </c>
      <c r="C332" s="62" t="s">
        <v>16</v>
      </c>
      <c r="D332" s="63">
        <v>200</v>
      </c>
      <c r="E332" s="64">
        <v>25.25</v>
      </c>
      <c r="F332" s="64">
        <v>15.78</v>
      </c>
      <c r="G332" s="64">
        <f t="shared" si="5"/>
        <v>1.1046</v>
      </c>
      <c r="H332" s="64">
        <f t="shared" si="8"/>
        <v>-5066.884599999999</v>
      </c>
    </row>
    <row r="333" spans="2:8" ht="11.25">
      <c r="B333" s="62" t="s">
        <v>340</v>
      </c>
      <c r="C333" s="62" t="s">
        <v>16</v>
      </c>
      <c r="D333" s="63">
        <v>100</v>
      </c>
      <c r="E333" s="64">
        <v>26</v>
      </c>
      <c r="F333" s="64">
        <v>8.03</v>
      </c>
      <c r="G333" s="64">
        <f t="shared" si="5"/>
        <v>0.5621</v>
      </c>
      <c r="H333" s="64">
        <f t="shared" si="8"/>
        <v>-2608.5921000000003</v>
      </c>
    </row>
    <row r="334" spans="1:8" ht="12" thickBot="1">
      <c r="A334" s="65"/>
      <c r="B334" s="65"/>
      <c r="C334" s="65"/>
      <c r="D334" s="66"/>
      <c r="E334" s="67"/>
      <c r="F334" s="67"/>
      <c r="G334" s="72" t="s">
        <v>14</v>
      </c>
      <c r="H334" s="72">
        <f>SUM(H329:H333)</f>
        <v>-4153.5</v>
      </c>
    </row>
    <row r="335" spans="1:8" ht="11.25">
      <c r="A335" s="62" t="s">
        <v>354</v>
      </c>
      <c r="B335" s="62" t="s">
        <v>355</v>
      </c>
      <c r="C335" s="62" t="s">
        <v>16</v>
      </c>
      <c r="D335" s="63">
        <v>2500</v>
      </c>
      <c r="E335" s="64">
        <v>5.05</v>
      </c>
      <c r="F335" s="64">
        <f aca="true" t="shared" si="9" ref="F335:F341">($D335*$E335)*0.002</f>
        <v>25.25</v>
      </c>
      <c r="G335" s="64">
        <f t="shared" si="5"/>
        <v>1.7675</v>
      </c>
      <c r="H335" s="64">
        <f t="shared" si="8"/>
        <v>-12652.0175</v>
      </c>
    </row>
    <row r="336" spans="2:10" ht="11.25">
      <c r="B336" s="62" t="s">
        <v>355</v>
      </c>
      <c r="C336" s="62" t="s">
        <v>37</v>
      </c>
      <c r="D336" s="63">
        <v>1000</v>
      </c>
      <c r="E336" s="64">
        <v>4.96</v>
      </c>
      <c r="F336" s="64">
        <f t="shared" si="9"/>
        <v>9.92</v>
      </c>
      <c r="G336" s="64">
        <f t="shared" si="5"/>
        <v>0.6944</v>
      </c>
      <c r="H336" s="64">
        <f t="shared" si="8"/>
        <v>4949.3856</v>
      </c>
      <c r="J336" s="69"/>
    </row>
    <row r="337" spans="2:10" ht="11.25">
      <c r="B337" s="62" t="s">
        <v>355</v>
      </c>
      <c r="C337" s="62" t="s">
        <v>37</v>
      </c>
      <c r="D337" s="63">
        <v>1500</v>
      </c>
      <c r="E337" s="64">
        <v>4.98</v>
      </c>
      <c r="F337" s="64">
        <f t="shared" si="9"/>
        <v>14.940000000000001</v>
      </c>
      <c r="G337" s="64">
        <f t="shared" si="5"/>
        <v>1.0458000000000003</v>
      </c>
      <c r="H337" s="64">
        <f t="shared" si="8"/>
        <v>7454.014200000001</v>
      </c>
      <c r="J337" s="77">
        <f>SUM(H335:H337)</f>
        <v>-248.61769999999888</v>
      </c>
    </row>
    <row r="338" spans="2:8" ht="11.25">
      <c r="B338" s="62" t="s">
        <v>352</v>
      </c>
      <c r="C338" s="62" t="s">
        <v>16</v>
      </c>
      <c r="D338" s="63">
        <v>300</v>
      </c>
      <c r="E338" s="64">
        <v>26.75</v>
      </c>
      <c r="F338" s="64">
        <f t="shared" si="9"/>
        <v>16.05</v>
      </c>
      <c r="G338" s="64">
        <f t="shared" si="5"/>
        <v>1.1235000000000002</v>
      </c>
      <c r="H338" s="64">
        <f t="shared" si="8"/>
        <v>-8042.1735</v>
      </c>
    </row>
    <row r="339" spans="2:8" ht="11.25">
      <c r="B339" s="62" t="s">
        <v>340</v>
      </c>
      <c r="C339" s="62" t="s">
        <v>37</v>
      </c>
      <c r="D339" s="63">
        <v>200</v>
      </c>
      <c r="E339" s="64">
        <v>26.75</v>
      </c>
      <c r="F339" s="64">
        <f t="shared" si="9"/>
        <v>10.700000000000001</v>
      </c>
      <c r="G339" s="64">
        <f t="shared" si="5"/>
        <v>0.7490000000000001</v>
      </c>
      <c r="H339" s="64">
        <f t="shared" si="8"/>
        <v>5338.551</v>
      </c>
    </row>
    <row r="340" spans="2:8" ht="11.25">
      <c r="B340" s="62" t="s">
        <v>303</v>
      </c>
      <c r="C340" s="62" t="s">
        <v>16</v>
      </c>
      <c r="D340" s="63">
        <v>1500</v>
      </c>
      <c r="E340" s="64">
        <v>3.06</v>
      </c>
      <c r="F340" s="64">
        <f t="shared" si="9"/>
        <v>9.18</v>
      </c>
      <c r="G340" s="64">
        <f t="shared" si="5"/>
        <v>0.6426000000000001</v>
      </c>
      <c r="H340" s="64">
        <f t="shared" si="8"/>
        <v>-4599.8226</v>
      </c>
    </row>
    <row r="341" spans="2:8" ht="11.25">
      <c r="B341" s="62" t="s">
        <v>341</v>
      </c>
      <c r="C341" s="62" t="s">
        <v>16</v>
      </c>
      <c r="D341" s="63">
        <v>600</v>
      </c>
      <c r="E341" s="64">
        <v>17.5</v>
      </c>
      <c r="F341" s="64">
        <f t="shared" si="9"/>
        <v>21</v>
      </c>
      <c r="G341" s="64">
        <f t="shared" si="5"/>
        <v>1.4700000000000002</v>
      </c>
      <c r="H341" s="64">
        <f t="shared" si="8"/>
        <v>-10522.47</v>
      </c>
    </row>
    <row r="342" spans="1:10" ht="12" thickBot="1">
      <c r="A342" s="65"/>
      <c r="B342" s="65"/>
      <c r="C342" s="65"/>
      <c r="D342" s="66"/>
      <c r="E342" s="67"/>
      <c r="F342" s="67"/>
      <c r="G342" s="72" t="s">
        <v>14</v>
      </c>
      <c r="H342" s="72">
        <f>SUM(H335:H341)</f>
        <v>-18074.5328</v>
      </c>
      <c r="J342" s="69"/>
    </row>
    <row r="343" spans="1:8" ht="11.25">
      <c r="A343" s="62" t="s">
        <v>358</v>
      </c>
      <c r="B343" s="62" t="s">
        <v>341</v>
      </c>
      <c r="C343" s="62" t="s">
        <v>37</v>
      </c>
      <c r="D343" s="63">
        <v>200</v>
      </c>
      <c r="E343" s="64">
        <v>17.4</v>
      </c>
      <c r="F343" s="64">
        <f>($D343*$E343)*0.002+4.15</f>
        <v>11.11</v>
      </c>
      <c r="G343" s="64">
        <f t="shared" si="5"/>
        <v>0.7777000000000001</v>
      </c>
      <c r="H343" s="64">
        <f t="shared" si="8"/>
        <v>3468.1122999999993</v>
      </c>
    </row>
    <row r="344" spans="2:10" ht="11.25">
      <c r="B344" s="62" t="s">
        <v>283</v>
      </c>
      <c r="C344" s="62" t="s">
        <v>16</v>
      </c>
      <c r="D344" s="63">
        <v>1000</v>
      </c>
      <c r="E344" s="64">
        <v>8.5</v>
      </c>
      <c r="F344" s="64">
        <f>($D344*$E344)*0.002+12.46</f>
        <v>29.46</v>
      </c>
      <c r="G344" s="64">
        <f t="shared" si="5"/>
        <v>2.0622000000000003</v>
      </c>
      <c r="H344" s="64">
        <f t="shared" si="8"/>
        <v>-8531.5222</v>
      </c>
      <c r="J344" s="69"/>
    </row>
    <row r="345" spans="2:8" ht="11.25">
      <c r="B345" s="62" t="s">
        <v>336</v>
      </c>
      <c r="C345" s="62" t="s">
        <v>16</v>
      </c>
      <c r="D345" s="63">
        <v>1000</v>
      </c>
      <c r="E345" s="64">
        <v>2.64</v>
      </c>
      <c r="F345" s="64">
        <f>($D345*$E345)*0.002+4.15</f>
        <v>9.43</v>
      </c>
      <c r="G345" s="64">
        <f t="shared" si="5"/>
        <v>0.6601</v>
      </c>
      <c r="H345" s="64">
        <f t="shared" si="8"/>
        <v>-2650.0901</v>
      </c>
    </row>
    <row r="346" spans="1:8" ht="12" thickBot="1">
      <c r="A346" s="65"/>
      <c r="B346" s="65"/>
      <c r="C346" s="65"/>
      <c r="D346" s="66"/>
      <c r="E346" s="67"/>
      <c r="F346" s="67"/>
      <c r="G346" s="72" t="s">
        <v>14</v>
      </c>
      <c r="H346" s="72">
        <f>SUM(H343:H345)</f>
        <v>-7713.5</v>
      </c>
    </row>
    <row r="347" spans="1:10" ht="11.25">
      <c r="A347" s="62" t="s">
        <v>362</v>
      </c>
      <c r="B347" s="62" t="s">
        <v>340</v>
      </c>
      <c r="C347" s="62" t="s">
        <v>37</v>
      </c>
      <c r="D347" s="63">
        <v>400</v>
      </c>
      <c r="E347" s="64">
        <v>26.5</v>
      </c>
      <c r="F347" s="64">
        <f aca="true" t="shared" si="10" ref="F347:F374">($D347*$E347)*0.002</f>
        <v>21.2</v>
      </c>
      <c r="G347" s="64">
        <f t="shared" si="5"/>
        <v>1.484</v>
      </c>
      <c r="H347" s="64">
        <f t="shared" si="8"/>
        <v>10577.315999999999</v>
      </c>
      <c r="J347" s="69"/>
    </row>
    <row r="348" spans="2:10" ht="11.25">
      <c r="B348" s="62" t="s">
        <v>352</v>
      </c>
      <c r="C348" s="62" t="s">
        <v>37</v>
      </c>
      <c r="D348" s="63">
        <v>400</v>
      </c>
      <c r="E348" s="64">
        <v>26.75</v>
      </c>
      <c r="F348" s="64">
        <f t="shared" si="10"/>
        <v>21.400000000000002</v>
      </c>
      <c r="G348" s="64">
        <f aca="true" t="shared" si="11" ref="G348:G374">$F348*0.07</f>
        <v>1.4980000000000002</v>
      </c>
      <c r="H348" s="64">
        <f t="shared" si="8"/>
        <v>10677.102</v>
      </c>
      <c r="J348" s="77">
        <f>SUM(H348,H331,H338)</f>
        <v>-23.77059999999892</v>
      </c>
    </row>
    <row r="349" spans="2:10" ht="11.25">
      <c r="B349" s="62" t="s">
        <v>336</v>
      </c>
      <c r="C349" s="62" t="s">
        <v>37</v>
      </c>
      <c r="D349" s="63">
        <v>3000</v>
      </c>
      <c r="E349" s="64">
        <v>2.7</v>
      </c>
      <c r="F349" s="64">
        <f t="shared" si="10"/>
        <v>16.200000000000003</v>
      </c>
      <c r="G349" s="64">
        <f t="shared" si="11"/>
        <v>1.1340000000000003</v>
      </c>
      <c r="H349" s="64">
        <f t="shared" si="8"/>
        <v>8082.666000000001</v>
      </c>
      <c r="J349" s="70">
        <f>SUM(H349,H345,H326:H327)</f>
        <v>221.44790000000148</v>
      </c>
    </row>
    <row r="350" spans="2:8" ht="11.25">
      <c r="B350" s="62" t="s">
        <v>303</v>
      </c>
      <c r="C350" s="62" t="s">
        <v>16</v>
      </c>
      <c r="D350" s="63">
        <v>4000</v>
      </c>
      <c r="E350" s="64">
        <v>2.94</v>
      </c>
      <c r="F350" s="64">
        <f t="shared" si="10"/>
        <v>23.52</v>
      </c>
      <c r="G350" s="64">
        <f t="shared" si="11"/>
        <v>1.6464</v>
      </c>
      <c r="H350" s="64">
        <f t="shared" si="8"/>
        <v>-11785.1664</v>
      </c>
    </row>
    <row r="351" spans="2:8" ht="11.25">
      <c r="B351" s="62" t="s">
        <v>303</v>
      </c>
      <c r="C351" s="62" t="s">
        <v>16</v>
      </c>
      <c r="D351" s="63">
        <v>2000</v>
      </c>
      <c r="E351" s="64">
        <v>2.92</v>
      </c>
      <c r="F351" s="64">
        <f t="shared" si="10"/>
        <v>11.68</v>
      </c>
      <c r="G351" s="64">
        <f t="shared" si="11"/>
        <v>0.8176000000000001</v>
      </c>
      <c r="H351" s="64">
        <f t="shared" si="8"/>
        <v>-5852.497600000001</v>
      </c>
    </row>
    <row r="352" spans="2:10" ht="11.25">
      <c r="B352" s="62" t="s">
        <v>303</v>
      </c>
      <c r="C352" s="62" t="s">
        <v>16</v>
      </c>
      <c r="D352" s="63">
        <v>2000</v>
      </c>
      <c r="E352" s="64">
        <v>2.86</v>
      </c>
      <c r="F352" s="64">
        <f t="shared" si="10"/>
        <v>11.44</v>
      </c>
      <c r="G352" s="64">
        <f t="shared" si="11"/>
        <v>0.8008000000000001</v>
      </c>
      <c r="H352" s="64">
        <f t="shared" si="8"/>
        <v>-5732.2408</v>
      </c>
      <c r="J352" s="69"/>
    </row>
    <row r="353" spans="2:8" ht="11.25">
      <c r="B353" s="62" t="s">
        <v>304</v>
      </c>
      <c r="C353" s="62" t="s">
        <v>16</v>
      </c>
      <c r="D353" s="63">
        <v>1000</v>
      </c>
      <c r="E353" s="64">
        <v>8.8</v>
      </c>
      <c r="F353" s="64">
        <f t="shared" si="10"/>
        <v>17.6</v>
      </c>
      <c r="G353" s="64">
        <f t="shared" si="11"/>
        <v>1.2320000000000002</v>
      </c>
      <c r="H353" s="64">
        <f t="shared" si="8"/>
        <v>-8818.832</v>
      </c>
    </row>
    <row r="354" spans="1:8" ht="12" thickBot="1">
      <c r="A354" s="65"/>
      <c r="B354" s="65"/>
      <c r="C354" s="65"/>
      <c r="D354" s="66"/>
      <c r="E354" s="67"/>
      <c r="F354" s="67"/>
      <c r="G354" s="72" t="s">
        <v>14</v>
      </c>
      <c r="H354" s="72">
        <f>SUM(H347:H353)</f>
        <v>-2851.6528</v>
      </c>
    </row>
    <row r="355" spans="1:10" ht="11.25">
      <c r="A355" s="62" t="s">
        <v>366</v>
      </c>
      <c r="B355" s="62" t="s">
        <v>304</v>
      </c>
      <c r="C355" s="62" t="s">
        <v>16</v>
      </c>
      <c r="D355" s="63">
        <v>1000</v>
      </c>
      <c r="E355" s="64">
        <v>8.6</v>
      </c>
      <c r="F355" s="64">
        <f t="shared" si="10"/>
        <v>17.2</v>
      </c>
      <c r="G355" s="64">
        <f t="shared" si="11"/>
        <v>1.204</v>
      </c>
      <c r="H355" s="64">
        <f>IF($C355="BUY",(($D355*$E355)+$F355+$G355)*(-1),IF($C355="SELL",($D355*$E355)-$F355-$G355))</f>
        <v>-8618.404</v>
      </c>
      <c r="J355" s="69"/>
    </row>
    <row r="356" spans="2:10" ht="11.25">
      <c r="B356" s="62" t="s">
        <v>304</v>
      </c>
      <c r="C356" s="62" t="s">
        <v>16</v>
      </c>
      <c r="D356" s="63">
        <v>1000</v>
      </c>
      <c r="E356" s="64">
        <v>8.5</v>
      </c>
      <c r="F356" s="64">
        <f t="shared" si="10"/>
        <v>17</v>
      </c>
      <c r="G356" s="64">
        <f t="shared" si="11"/>
        <v>1.1900000000000002</v>
      </c>
      <c r="H356" s="64">
        <f>IF($C356="BUY",(($D356*$E356)+$F356+$G356)*(-1),IF($C356="SELL",($D356*$E356)-$F356-$G356))</f>
        <v>-8518.19</v>
      </c>
      <c r="J356" s="69"/>
    </row>
    <row r="357" spans="2:10" ht="11.25">
      <c r="B357" s="62" t="s">
        <v>340</v>
      </c>
      <c r="C357" s="62" t="s">
        <v>37</v>
      </c>
      <c r="D357" s="63">
        <v>300</v>
      </c>
      <c r="E357" s="64">
        <v>26.5</v>
      </c>
      <c r="F357" s="64">
        <f t="shared" si="10"/>
        <v>15.9</v>
      </c>
      <c r="G357" s="64">
        <f t="shared" si="11"/>
        <v>1.1130000000000002</v>
      </c>
      <c r="H357" s="64">
        <f>IF($C357="BUY",(($D357*$E357)+$F357+$G357)*(-1),IF($C357="SELL",($D357*$E357)-$F357-$G357))</f>
        <v>7932.987</v>
      </c>
      <c r="J357" s="70">
        <f>SUM(H357,H347,H339,H333,H325,H311,)</f>
        <v>370.6963999999989</v>
      </c>
    </row>
    <row r="358" spans="1:8" ht="12" thickBot="1">
      <c r="A358" s="65"/>
      <c r="B358" s="65"/>
      <c r="C358" s="65"/>
      <c r="D358" s="66"/>
      <c r="E358" s="67"/>
      <c r="F358" s="67"/>
      <c r="G358" s="72" t="s">
        <v>14</v>
      </c>
      <c r="H358" s="72">
        <f>SUM(H355:H357)</f>
        <v>-9203.607</v>
      </c>
    </row>
    <row r="359" spans="1:8" ht="11.25">
      <c r="A359" s="62" t="s">
        <v>368</v>
      </c>
      <c r="B359" s="62" t="s">
        <v>324</v>
      </c>
      <c r="C359" s="62" t="s">
        <v>16</v>
      </c>
      <c r="D359" s="63">
        <v>300</v>
      </c>
      <c r="E359" s="64">
        <v>24</v>
      </c>
      <c r="F359" s="64">
        <f>($D359*$E359)*0.002+29.8</f>
        <v>44.2</v>
      </c>
      <c r="G359" s="64">
        <f t="shared" si="11"/>
        <v>3.0940000000000003</v>
      </c>
      <c r="H359" s="64">
        <f>IF($C359="BUY",(($D359*$E359)+$F359+$G359)*(-1),IF($C359="SELL",($D359*$E359)-$F359-$G359))</f>
        <v>-7247.294</v>
      </c>
    </row>
    <row r="360" spans="2:8" ht="11.25">
      <c r="B360" s="62" t="s">
        <v>303</v>
      </c>
      <c r="C360" s="62" t="s">
        <v>16</v>
      </c>
      <c r="D360" s="63">
        <v>1000</v>
      </c>
      <c r="E360" s="64">
        <v>2.9</v>
      </c>
      <c r="F360" s="64">
        <f t="shared" si="10"/>
        <v>5.8</v>
      </c>
      <c r="G360" s="64">
        <f t="shared" si="11"/>
        <v>0.406</v>
      </c>
      <c r="H360" s="64">
        <f>IF($C360="BUY",(($D360*$E360)+$F360+$G360)*(-1),IF($C360="SELL",($D360*$E360)-$F360-$G360))</f>
        <v>-2906.206</v>
      </c>
    </row>
    <row r="361" spans="1:10" ht="12" thickBot="1">
      <c r="A361" s="65"/>
      <c r="B361" s="65"/>
      <c r="C361" s="65"/>
      <c r="D361" s="66"/>
      <c r="E361" s="67"/>
      <c r="F361" s="67"/>
      <c r="G361" s="72" t="s">
        <v>14</v>
      </c>
      <c r="H361" s="72">
        <f>SUM(H359:H360)</f>
        <v>-10153.5</v>
      </c>
      <c r="J361" s="69"/>
    </row>
    <row r="362" spans="1:10" ht="11.25">
      <c r="A362" s="62" t="s">
        <v>381</v>
      </c>
      <c r="B362" s="62" t="s">
        <v>283</v>
      </c>
      <c r="C362" s="62" t="s">
        <v>37</v>
      </c>
      <c r="D362" s="63">
        <v>1000</v>
      </c>
      <c r="E362" s="64">
        <v>8.8</v>
      </c>
      <c r="F362" s="64">
        <f t="shared" si="10"/>
        <v>17.6</v>
      </c>
      <c r="G362" s="64">
        <f t="shared" si="11"/>
        <v>1.2320000000000002</v>
      </c>
      <c r="H362" s="64">
        <f>IF($C362="BUY",(($D362*$E362)+$F362+$G362)*(-1),IF($C362="SELL",($D362*$E362)-$F362-$G362))</f>
        <v>8781.168</v>
      </c>
      <c r="J362" s="70">
        <f>SUM(H362,H344)</f>
        <v>249.64580000000024</v>
      </c>
    </row>
    <row r="363" spans="2:10" ht="11.25">
      <c r="B363" s="62" t="s">
        <v>304</v>
      </c>
      <c r="C363" s="62" t="s">
        <v>37</v>
      </c>
      <c r="D363" s="63">
        <v>1000</v>
      </c>
      <c r="E363" s="64">
        <v>8.75</v>
      </c>
      <c r="F363" s="64">
        <f t="shared" si="10"/>
        <v>17.5</v>
      </c>
      <c r="G363" s="64">
        <f t="shared" si="11"/>
        <v>1.225</v>
      </c>
      <c r="H363" s="64">
        <f>IF($C363="BUY",(($D363*$E363)+$F363+$G363)*(-1),IF($C363="SELL",($D363*$E363)-$F363-$G363))</f>
        <v>8731.275</v>
      </c>
      <c r="J363" s="69"/>
    </row>
    <row r="364" spans="2:10" ht="11.25">
      <c r="B364" s="62" t="s">
        <v>341</v>
      </c>
      <c r="C364" s="62" t="s">
        <v>37</v>
      </c>
      <c r="D364" s="63">
        <v>400</v>
      </c>
      <c r="E364" s="64">
        <v>17.9</v>
      </c>
      <c r="F364" s="64">
        <f t="shared" si="10"/>
        <v>14.319999999999999</v>
      </c>
      <c r="G364" s="64">
        <f t="shared" si="11"/>
        <v>1.0024</v>
      </c>
      <c r="H364" s="64">
        <f>IF($C364="BUY",(($D364*$E364)+$F364+$G364)*(-1),IF($C364="SELL",($D364*$E364)-$F364-$G364))</f>
        <v>7144.677599999999</v>
      </c>
      <c r="J364" s="70">
        <f>SUM(H364,H343,H341)</f>
        <v>90.3198999999986</v>
      </c>
    </row>
    <row r="365" spans="1:8" ht="12" thickBot="1">
      <c r="A365" s="65"/>
      <c r="B365" s="65"/>
      <c r="C365" s="65"/>
      <c r="D365" s="66"/>
      <c r="E365" s="67"/>
      <c r="F365" s="67"/>
      <c r="G365" s="73" t="s">
        <v>38</v>
      </c>
      <c r="H365" s="73">
        <f>SUM(H362:H364)</f>
        <v>24657.1206</v>
      </c>
    </row>
    <row r="366" spans="1:10" ht="11.25">
      <c r="A366" s="62" t="s">
        <v>387</v>
      </c>
      <c r="B366" s="62" t="s">
        <v>324</v>
      </c>
      <c r="C366" s="62" t="s">
        <v>37</v>
      </c>
      <c r="D366" s="63">
        <v>500</v>
      </c>
      <c r="E366" s="64">
        <v>27</v>
      </c>
      <c r="F366" s="64">
        <f t="shared" si="10"/>
        <v>27</v>
      </c>
      <c r="G366" s="64">
        <f t="shared" si="11"/>
        <v>1.8900000000000001</v>
      </c>
      <c r="H366" s="64">
        <f>IF($C366="BUY",(($D366*$E366)+$F366+$G366)*(-1),IF($C366="SELL",($D366*$E366)-$F366-$G366))</f>
        <v>13471.11</v>
      </c>
      <c r="J366" s="69"/>
    </row>
    <row r="367" spans="1:8" ht="12" thickBot="1">
      <c r="A367" s="65"/>
      <c r="B367" s="65"/>
      <c r="C367" s="65"/>
      <c r="D367" s="66"/>
      <c r="E367" s="67"/>
      <c r="F367" s="67"/>
      <c r="G367" s="73" t="s">
        <v>38</v>
      </c>
      <c r="H367" s="73">
        <f>H366</f>
        <v>13471.11</v>
      </c>
    </row>
    <row r="368" spans="1:8" ht="11.25">
      <c r="A368" s="62" t="s">
        <v>388</v>
      </c>
      <c r="B368" s="62" t="s">
        <v>324</v>
      </c>
      <c r="C368" s="62" t="s">
        <v>16</v>
      </c>
      <c r="D368" s="63">
        <v>500</v>
      </c>
      <c r="E368" s="64">
        <v>25.75</v>
      </c>
      <c r="F368" s="64">
        <f t="shared" si="10"/>
        <v>25.75</v>
      </c>
      <c r="G368" s="64">
        <f t="shared" si="11"/>
        <v>1.8025000000000002</v>
      </c>
      <c r="H368" s="64">
        <f>IF($C368="BUY",(($D368*$E368)+$F368+$G368)*(-1),IF($C368="SELL",($D368*$E368)-$F368-$G368))</f>
        <v>-12902.5525</v>
      </c>
    </row>
    <row r="369" spans="2:8" ht="11.25">
      <c r="B369" s="62" t="s">
        <v>390</v>
      </c>
      <c r="C369" s="62" t="s">
        <v>16</v>
      </c>
      <c r="D369" s="63">
        <v>2000</v>
      </c>
      <c r="E369" s="64">
        <v>8</v>
      </c>
      <c r="F369" s="64">
        <f t="shared" si="10"/>
        <v>32</v>
      </c>
      <c r="G369" s="64">
        <f t="shared" si="11"/>
        <v>2.24</v>
      </c>
      <c r="H369" s="64">
        <f>IF($C369="BUY",(($D369*$E369)+$F369+$G369)*(-1),IF($C369="SELL",($D369*$E369)-$F369-$G369))</f>
        <v>-16034.24</v>
      </c>
    </row>
    <row r="370" spans="1:8" ht="12" thickBot="1">
      <c r="A370" s="65"/>
      <c r="B370" s="65"/>
      <c r="C370" s="65"/>
      <c r="D370" s="66"/>
      <c r="E370" s="67"/>
      <c r="F370" s="67"/>
      <c r="G370" s="72" t="s">
        <v>14</v>
      </c>
      <c r="H370" s="72">
        <f>SUM(H368:H369)</f>
        <v>-28936.7925</v>
      </c>
    </row>
    <row r="371" spans="1:8" ht="11.25">
      <c r="A371" s="62" t="s">
        <v>392</v>
      </c>
      <c r="B371" s="62" t="s">
        <v>393</v>
      </c>
      <c r="C371" s="62" t="s">
        <v>16</v>
      </c>
      <c r="D371" s="63">
        <v>1500</v>
      </c>
      <c r="E371" s="64">
        <v>19.7</v>
      </c>
      <c r="F371" s="64">
        <f t="shared" si="10"/>
        <v>59.1</v>
      </c>
      <c r="G371" s="64">
        <f t="shared" si="11"/>
        <v>4.1370000000000005</v>
      </c>
      <c r="H371" s="64">
        <f>IF($C371="BUY",(($D371*$E371)+$F371+$G371)*(-1),IF($C371="SELL",($D371*$E371)-$F371-$G371))</f>
        <v>-29613.236999999997</v>
      </c>
    </row>
    <row r="372" spans="2:10" ht="11.25">
      <c r="B372" s="62" t="s">
        <v>390</v>
      </c>
      <c r="C372" s="62" t="s">
        <v>37</v>
      </c>
      <c r="D372" s="63">
        <v>2000</v>
      </c>
      <c r="E372" s="64">
        <v>8.3</v>
      </c>
      <c r="F372" s="64">
        <f t="shared" si="10"/>
        <v>33.2</v>
      </c>
      <c r="G372" s="64">
        <f t="shared" si="11"/>
        <v>2.3240000000000003</v>
      </c>
      <c r="H372" s="64">
        <f>IF($C372="BUY",(($D372*$E372)+$F372+$G372)*(-1),IF($C372="SELL",($D372*$E372)-$F372-$G372))</f>
        <v>16564.476</v>
      </c>
      <c r="J372" s="70">
        <f>SUM(H372,H369)</f>
        <v>530.235999999999</v>
      </c>
    </row>
    <row r="373" spans="2:8" ht="11.25">
      <c r="B373" s="62" t="s">
        <v>324</v>
      </c>
      <c r="C373" s="62" t="s">
        <v>16</v>
      </c>
      <c r="D373" s="63">
        <v>200</v>
      </c>
      <c r="E373" s="64">
        <v>26.25</v>
      </c>
      <c r="F373" s="64">
        <f t="shared" si="10"/>
        <v>10.5</v>
      </c>
      <c r="G373" s="64">
        <f t="shared" si="11"/>
        <v>0.7350000000000001</v>
      </c>
      <c r="H373" s="64">
        <f>IF($C373="BUY",(($D373*$E373)+$F373+$G373)*(-1),IF($C373="SELL",($D373*$E373)-$F373-$G373))</f>
        <v>-5261.235</v>
      </c>
    </row>
    <row r="374" spans="2:8" ht="11.25">
      <c r="B374" s="62" t="s">
        <v>304</v>
      </c>
      <c r="C374" s="62" t="s">
        <v>37</v>
      </c>
      <c r="D374" s="63">
        <v>1000</v>
      </c>
      <c r="E374" s="64">
        <v>9.3</v>
      </c>
      <c r="F374" s="64">
        <f t="shared" si="10"/>
        <v>18.6</v>
      </c>
      <c r="G374" s="64">
        <f t="shared" si="11"/>
        <v>1.3020000000000003</v>
      </c>
      <c r="H374" s="64">
        <f>IF($C374="BUY",(($D374*$E374)+$F374+$G374)*(-1),IF($C374="SELL",($D374*$E374)-$F374-$G374))</f>
        <v>9280.098</v>
      </c>
    </row>
    <row r="375" spans="7:8" ht="12" thickBot="1">
      <c r="G375" s="95" t="s">
        <v>38</v>
      </c>
      <c r="H375" s="95">
        <f>SUM(H371:H374)</f>
        <v>-9029.898</v>
      </c>
    </row>
    <row r="376" spans="1:9" ht="12" thickBot="1">
      <c r="A376" s="102" t="s">
        <v>1</v>
      </c>
      <c r="B376" s="103"/>
      <c r="C376" s="103"/>
      <c r="D376" s="103"/>
      <c r="E376" s="103"/>
      <c r="F376" s="103"/>
      <c r="G376" s="103"/>
      <c r="H376" s="103"/>
      <c r="I376" s="104"/>
    </row>
    <row r="377" spans="1:9" ht="12" thickBot="1">
      <c r="A377" s="90" t="s">
        <v>396</v>
      </c>
      <c r="B377" s="91" t="s">
        <v>0</v>
      </c>
      <c r="C377" s="91" t="s">
        <v>2</v>
      </c>
      <c r="D377" s="91" t="s">
        <v>3</v>
      </c>
      <c r="E377" s="92" t="s">
        <v>4</v>
      </c>
      <c r="F377" s="93" t="s">
        <v>5</v>
      </c>
      <c r="G377" s="93" t="s">
        <v>6</v>
      </c>
      <c r="H377" s="93" t="s">
        <v>7</v>
      </c>
      <c r="I377" s="94" t="s">
        <v>8</v>
      </c>
    </row>
    <row r="378" spans="2:5" ht="11.25">
      <c r="B378" s="97"/>
      <c r="E378" s="100"/>
    </row>
    <row r="379" spans="2:5" ht="11.25">
      <c r="B379" s="96"/>
      <c r="E379" s="100"/>
    </row>
    <row r="380" spans="2:5" ht="11.25">
      <c r="B380" s="96"/>
      <c r="E380" s="100"/>
    </row>
    <row r="381" spans="2:5" ht="11.25">
      <c r="B381" s="96"/>
      <c r="E381" s="100"/>
    </row>
    <row r="382" spans="2:5" ht="11.25">
      <c r="B382" s="96"/>
      <c r="E382" s="100"/>
    </row>
    <row r="383" spans="2:5" ht="11.25">
      <c r="B383" s="96"/>
      <c r="E383" s="100"/>
    </row>
    <row r="384" spans="2:5" ht="11.25">
      <c r="B384" s="96"/>
      <c r="E384" s="100"/>
    </row>
    <row r="385" spans="2:5" ht="11.25">
      <c r="B385" s="96"/>
      <c r="E385" s="100"/>
    </row>
    <row r="386" spans="2:5" ht="11.25">
      <c r="B386" s="96"/>
      <c r="E386" s="100"/>
    </row>
    <row r="387" spans="2:5" ht="11.25">
      <c r="B387" s="96"/>
      <c r="E387" s="100"/>
    </row>
    <row r="388" spans="2:5" ht="11.25">
      <c r="B388" s="96"/>
      <c r="E388" s="100"/>
    </row>
    <row r="389" spans="2:5" ht="11.25">
      <c r="B389" s="96"/>
      <c r="E389" s="100"/>
    </row>
    <row r="390" spans="2:5" ht="11.25">
      <c r="B390" s="96"/>
      <c r="E390" s="100"/>
    </row>
    <row r="391" spans="2:5" ht="11.25">
      <c r="B391" s="96"/>
      <c r="E391" s="100"/>
    </row>
    <row r="392" spans="2:5" ht="11.25">
      <c r="B392" s="96"/>
      <c r="E392" s="100"/>
    </row>
    <row r="393" spans="2:5" ht="11.25">
      <c r="B393" s="96"/>
      <c r="E393" s="100"/>
    </row>
    <row r="394" spans="2:5" ht="11.25">
      <c r="B394" s="96"/>
      <c r="E394" s="100"/>
    </row>
    <row r="395" spans="2:5" ht="11.25">
      <c r="B395" s="96"/>
      <c r="E395" s="100"/>
    </row>
    <row r="396" spans="2:5" ht="11.25">
      <c r="B396" s="96"/>
      <c r="E396" s="100"/>
    </row>
    <row r="397" spans="2:5" ht="11.25">
      <c r="B397" s="96"/>
      <c r="E397" s="100"/>
    </row>
    <row r="398" spans="2:5" ht="11.25">
      <c r="B398" s="96"/>
      <c r="E398" s="100"/>
    </row>
    <row r="399" spans="2:5" ht="11.25">
      <c r="B399" s="96"/>
      <c r="E399" s="100"/>
    </row>
    <row r="400" spans="2:5" ht="11.25">
      <c r="B400" s="96"/>
      <c r="E400" s="100"/>
    </row>
    <row r="401" spans="2:5" ht="11.25">
      <c r="B401" s="96"/>
      <c r="E401" s="100"/>
    </row>
    <row r="402" spans="2:5" ht="11.25">
      <c r="B402" s="96"/>
      <c r="E402" s="100"/>
    </row>
    <row r="403" spans="2:5" ht="11.25">
      <c r="B403" s="96"/>
      <c r="E403" s="100"/>
    </row>
    <row r="404" spans="2:5" ht="11.25">
      <c r="B404" s="96"/>
      <c r="E404" s="100"/>
    </row>
    <row r="405" spans="2:5" ht="11.25">
      <c r="B405" s="96"/>
      <c r="E405" s="100"/>
    </row>
    <row r="406" spans="2:5" ht="11.25">
      <c r="B406" s="96"/>
      <c r="E406" s="100"/>
    </row>
    <row r="407" spans="2:5" ht="11.25">
      <c r="B407" s="96"/>
      <c r="E407" s="100"/>
    </row>
    <row r="408" spans="2:5" ht="11.25">
      <c r="B408" s="96"/>
      <c r="E408" s="100"/>
    </row>
    <row r="409" spans="2:5" ht="11.25">
      <c r="B409" s="96"/>
      <c r="E409" s="100"/>
    </row>
    <row r="410" spans="2:5" ht="11.25">
      <c r="B410" s="96"/>
      <c r="E410" s="100"/>
    </row>
    <row r="411" spans="2:5" ht="11.25">
      <c r="B411" s="96"/>
      <c r="E411" s="100"/>
    </row>
    <row r="412" spans="2:5" ht="11.25">
      <c r="B412" s="96"/>
      <c r="E412" s="100"/>
    </row>
    <row r="413" spans="2:5" ht="11.25">
      <c r="B413" s="96"/>
      <c r="E413" s="100"/>
    </row>
    <row r="414" spans="2:5" ht="11.25">
      <c r="B414" s="96"/>
      <c r="E414" s="100"/>
    </row>
    <row r="415" spans="2:5" ht="11.25">
      <c r="B415" s="96"/>
      <c r="E415" s="100"/>
    </row>
    <row r="416" spans="2:5" ht="11.25">
      <c r="B416" s="96"/>
      <c r="E416" s="100"/>
    </row>
    <row r="417" spans="2:5" ht="11.25">
      <c r="B417" s="96"/>
      <c r="E417" s="100"/>
    </row>
    <row r="418" spans="2:5" ht="11.25">
      <c r="B418" s="96"/>
      <c r="E418" s="100"/>
    </row>
    <row r="419" spans="2:5" ht="11.25">
      <c r="B419" s="96"/>
      <c r="E419" s="100"/>
    </row>
    <row r="420" spans="2:5" ht="11.25">
      <c r="B420" s="96"/>
      <c r="E420" s="100"/>
    </row>
    <row r="421" spans="2:5" ht="11.25">
      <c r="B421" s="96"/>
      <c r="E421" s="100"/>
    </row>
    <row r="422" spans="2:5" ht="11.25">
      <c r="B422" s="96"/>
      <c r="E422" s="100"/>
    </row>
    <row r="423" spans="2:5" ht="11.25">
      <c r="B423" s="96"/>
      <c r="E423" s="100"/>
    </row>
    <row r="424" spans="2:5" ht="11.25">
      <c r="B424" s="96"/>
      <c r="E424" s="100"/>
    </row>
    <row r="425" spans="2:5" ht="11.25">
      <c r="B425" s="96"/>
      <c r="E425" s="100"/>
    </row>
    <row r="426" spans="2:5" ht="11.25">
      <c r="B426" s="96"/>
      <c r="E426" s="100"/>
    </row>
    <row r="427" spans="2:5" ht="11.25">
      <c r="B427" s="96"/>
      <c r="E427" s="100"/>
    </row>
    <row r="428" spans="2:5" ht="11.25">
      <c r="B428" s="96"/>
      <c r="E428" s="100"/>
    </row>
    <row r="429" spans="2:5" ht="11.25">
      <c r="B429" s="96"/>
      <c r="E429" s="100"/>
    </row>
    <row r="430" spans="2:5" ht="11.25">
      <c r="B430" s="96"/>
      <c r="E430" s="100"/>
    </row>
    <row r="431" spans="2:5" ht="11.25">
      <c r="B431" s="96"/>
      <c r="E431" s="100"/>
    </row>
    <row r="432" spans="2:5" ht="11.25">
      <c r="B432" s="96"/>
      <c r="E432" s="100"/>
    </row>
    <row r="433" spans="2:5" ht="11.25">
      <c r="B433" s="96"/>
      <c r="E433" s="100"/>
    </row>
    <row r="434" spans="2:5" ht="11.25">
      <c r="B434" s="96"/>
      <c r="E434" s="100"/>
    </row>
    <row r="435" spans="2:5" ht="11.25">
      <c r="B435" s="96"/>
      <c r="E435" s="100"/>
    </row>
    <row r="436" spans="2:5" ht="11.25">
      <c r="B436" s="96"/>
      <c r="E436" s="100"/>
    </row>
    <row r="437" spans="2:5" ht="11.25">
      <c r="B437" s="96"/>
      <c r="E437" s="100"/>
    </row>
    <row r="438" spans="2:5" ht="11.25">
      <c r="B438" s="96"/>
      <c r="E438" s="100"/>
    </row>
    <row r="439" spans="2:5" ht="11.25">
      <c r="B439" s="96"/>
      <c r="E439" s="100"/>
    </row>
    <row r="440" spans="2:5" ht="11.25">
      <c r="B440" s="96"/>
      <c r="E440" s="100"/>
    </row>
    <row r="441" spans="2:5" ht="11.25">
      <c r="B441" s="96"/>
      <c r="E441" s="100"/>
    </row>
    <row r="442" spans="2:5" ht="11.25">
      <c r="B442" s="96"/>
      <c r="E442" s="100"/>
    </row>
    <row r="443" spans="2:5" ht="11.25">
      <c r="B443" s="96"/>
      <c r="E443" s="100"/>
    </row>
    <row r="444" spans="2:5" ht="11.25">
      <c r="B444" s="96"/>
      <c r="E444" s="100"/>
    </row>
    <row r="445" spans="2:5" ht="11.25">
      <c r="B445" s="96"/>
      <c r="E445" s="100"/>
    </row>
    <row r="446" spans="2:5" ht="11.25">
      <c r="B446" s="96"/>
      <c r="E446" s="100"/>
    </row>
    <row r="447" spans="2:5" ht="11.25">
      <c r="B447" s="96"/>
      <c r="E447" s="100"/>
    </row>
    <row r="448" spans="2:5" ht="11.25">
      <c r="B448" s="96"/>
      <c r="E448" s="100"/>
    </row>
    <row r="449" spans="2:5" ht="11.25">
      <c r="B449" s="96"/>
      <c r="E449" s="100"/>
    </row>
    <row r="450" spans="2:5" ht="11.25">
      <c r="B450" s="96"/>
      <c r="E450" s="100"/>
    </row>
    <row r="451" spans="2:5" ht="11.25">
      <c r="B451" s="96"/>
      <c r="E451" s="100"/>
    </row>
    <row r="452" spans="2:5" ht="11.25">
      <c r="B452" s="96"/>
      <c r="E452" s="100"/>
    </row>
    <row r="453" spans="2:5" ht="11.25">
      <c r="B453" s="96"/>
      <c r="E453" s="100"/>
    </row>
    <row r="454" spans="2:5" ht="11.25">
      <c r="B454" s="96"/>
      <c r="E454" s="100"/>
    </row>
    <row r="455" spans="2:5" ht="11.25">
      <c r="B455" s="96"/>
      <c r="E455" s="100"/>
    </row>
    <row r="456" spans="2:5" ht="11.25">
      <c r="B456" s="96"/>
      <c r="E456" s="100"/>
    </row>
    <row r="457" spans="2:5" ht="11.25">
      <c r="B457" s="96"/>
      <c r="E457" s="100"/>
    </row>
    <row r="458" spans="2:5" ht="11.25">
      <c r="B458" s="96"/>
      <c r="E458" s="100"/>
    </row>
    <row r="459" spans="2:5" ht="11.25">
      <c r="B459" s="96"/>
      <c r="E459" s="100"/>
    </row>
    <row r="460" spans="2:5" ht="11.25">
      <c r="B460" s="96"/>
      <c r="E460" s="100"/>
    </row>
    <row r="461" spans="2:5" ht="11.25">
      <c r="B461" s="96"/>
      <c r="E461" s="100"/>
    </row>
    <row r="462" spans="2:5" ht="11.25">
      <c r="B462" s="96"/>
      <c r="E462" s="100"/>
    </row>
    <row r="463" spans="2:5" ht="11.25">
      <c r="B463" s="96"/>
      <c r="E463" s="100"/>
    </row>
    <row r="464" spans="2:5" ht="11.25">
      <c r="B464" s="96"/>
      <c r="E464" s="100"/>
    </row>
    <row r="465" spans="2:5" ht="11.25">
      <c r="B465" s="96"/>
      <c r="E465" s="100"/>
    </row>
    <row r="466" spans="2:5" ht="11.25">
      <c r="B466" s="96"/>
      <c r="E466" s="100"/>
    </row>
    <row r="467" spans="2:5" ht="11.25">
      <c r="B467" s="96"/>
      <c r="E467" s="100"/>
    </row>
    <row r="468" spans="2:5" ht="11.25">
      <c r="B468" s="96"/>
      <c r="E468" s="100"/>
    </row>
    <row r="469" spans="2:5" ht="11.25">
      <c r="B469" s="96"/>
      <c r="E469" s="100"/>
    </row>
    <row r="470" spans="2:5" ht="11.25">
      <c r="B470" s="96"/>
      <c r="E470" s="100"/>
    </row>
    <row r="471" spans="2:5" ht="11.25">
      <c r="B471" s="96"/>
      <c r="E471" s="100"/>
    </row>
    <row r="472" spans="2:5" ht="11.25">
      <c r="B472" s="96"/>
      <c r="E472" s="100"/>
    </row>
    <row r="473" spans="2:5" ht="11.25">
      <c r="B473" s="96"/>
      <c r="E473" s="100"/>
    </row>
    <row r="474" spans="2:5" ht="11.25">
      <c r="B474" s="96"/>
      <c r="E474" s="100"/>
    </row>
    <row r="475" spans="2:5" ht="11.25">
      <c r="B475" s="96"/>
      <c r="E475" s="100"/>
    </row>
    <row r="476" spans="2:5" ht="11.25">
      <c r="B476" s="96"/>
      <c r="E476" s="100"/>
    </row>
    <row r="477" spans="2:5" ht="11.25">
      <c r="B477" s="96"/>
      <c r="E477" s="100"/>
    </row>
    <row r="478" spans="2:5" ht="11.25">
      <c r="B478" s="96"/>
      <c r="E478" s="100"/>
    </row>
    <row r="479" spans="2:5" ht="11.25">
      <c r="B479" s="96"/>
      <c r="E479" s="100"/>
    </row>
    <row r="480" spans="2:5" ht="11.25">
      <c r="B480" s="96"/>
      <c r="E480" s="100"/>
    </row>
    <row r="481" spans="2:5" ht="11.25">
      <c r="B481" s="96"/>
      <c r="E481" s="100"/>
    </row>
    <row r="482" spans="2:5" ht="11.25">
      <c r="B482" s="96"/>
      <c r="E482" s="100"/>
    </row>
    <row r="483" spans="2:5" ht="11.25">
      <c r="B483" s="96"/>
      <c r="E483" s="100"/>
    </row>
    <row r="484" spans="2:5" ht="11.25">
      <c r="B484" s="96"/>
      <c r="E484" s="100"/>
    </row>
    <row r="485" spans="2:5" ht="11.25">
      <c r="B485" s="96"/>
      <c r="E485" s="100"/>
    </row>
    <row r="486" spans="2:5" ht="11.25">
      <c r="B486" s="96"/>
      <c r="E486" s="100"/>
    </row>
    <row r="487" spans="2:5" ht="11.25">
      <c r="B487" s="96"/>
      <c r="E487" s="100"/>
    </row>
    <row r="488" spans="2:5" ht="11.25">
      <c r="B488" s="96"/>
      <c r="E488" s="100"/>
    </row>
    <row r="489" spans="2:5" ht="11.25">
      <c r="B489" s="96"/>
      <c r="E489" s="100"/>
    </row>
    <row r="490" spans="2:5" ht="11.25">
      <c r="B490" s="96"/>
      <c r="E490" s="100"/>
    </row>
    <row r="491" spans="2:5" ht="11.25">
      <c r="B491" s="96"/>
      <c r="E491" s="100"/>
    </row>
    <row r="492" spans="2:5" ht="11.25">
      <c r="B492" s="96"/>
      <c r="E492" s="100"/>
    </row>
    <row r="493" spans="2:5" ht="11.25">
      <c r="B493" s="96"/>
      <c r="E493" s="100"/>
    </row>
    <row r="494" spans="2:5" ht="11.25">
      <c r="B494" s="96"/>
      <c r="E494" s="100"/>
    </row>
    <row r="495" spans="2:5" ht="11.25">
      <c r="B495" s="96"/>
      <c r="E495" s="100"/>
    </row>
    <row r="496" spans="2:5" ht="11.25">
      <c r="B496" s="96"/>
      <c r="E496" s="100"/>
    </row>
    <row r="497" spans="2:5" ht="11.25">
      <c r="B497" s="96"/>
      <c r="E497" s="100"/>
    </row>
    <row r="498" spans="2:5" ht="11.25">
      <c r="B498" s="96"/>
      <c r="E498" s="100"/>
    </row>
    <row r="499" spans="2:5" ht="11.25">
      <c r="B499" s="96"/>
      <c r="E499" s="100"/>
    </row>
    <row r="500" spans="2:5" ht="11.25">
      <c r="B500" s="96"/>
      <c r="E500" s="100"/>
    </row>
  </sheetData>
  <mergeCells count="2">
    <mergeCell ref="A1:H1"/>
    <mergeCell ref="A376:I37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1" sqref="E21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367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7000</v>
      </c>
      <c r="C3" s="34">
        <v>9</v>
      </c>
      <c r="D3" s="31">
        <v>8.55</v>
      </c>
      <c r="E3" s="31">
        <f>$B3*$D3</f>
        <v>59850.00000000001</v>
      </c>
      <c r="F3" s="32">
        <f>$E3/$E$19</f>
        <v>0.4339985177250158</v>
      </c>
      <c r="G3" s="31">
        <f>$E3-($B3*$C3)</f>
        <v>-3149.9999999999927</v>
      </c>
      <c r="I3" s="33"/>
    </row>
    <row r="4" spans="1:9" s="28" customFormat="1" ht="15" customHeight="1">
      <c r="A4" s="29" t="s">
        <v>283</v>
      </c>
      <c r="B4" s="30">
        <v>1000</v>
      </c>
      <c r="C4" s="34">
        <v>8.6</v>
      </c>
      <c r="D4" s="31">
        <v>8.95</v>
      </c>
      <c r="E4" s="31">
        <f>$B4*$D4</f>
        <v>8950</v>
      </c>
      <c r="F4" s="32">
        <f>$E4/$E$19</f>
        <v>0.06490036313515272</v>
      </c>
      <c r="G4" s="31">
        <f>$E4-($B4*$C4)</f>
        <v>350</v>
      </c>
      <c r="I4" s="33"/>
    </row>
    <row r="5" spans="1:9" s="28" customFormat="1" ht="15" customHeight="1">
      <c r="A5" s="29" t="s">
        <v>324</v>
      </c>
      <c r="B5" s="30">
        <v>1100</v>
      </c>
      <c r="C5" s="34">
        <v>25</v>
      </c>
      <c r="D5" s="31">
        <v>24</v>
      </c>
      <c r="E5" s="31">
        <f>$B5*$D5</f>
        <v>26400</v>
      </c>
      <c r="F5" s="32">
        <f>$E5/$E$19</f>
        <v>0.19143794265564604</v>
      </c>
      <c r="G5" s="31">
        <f>$E5-($B5*$C5)</f>
        <v>-1100</v>
      </c>
      <c r="I5" s="33"/>
    </row>
    <row r="6" spans="1:9" s="28" customFormat="1" ht="15" customHeight="1">
      <c r="A6" s="29" t="s">
        <v>303</v>
      </c>
      <c r="B6" s="30">
        <v>10500</v>
      </c>
      <c r="C6" s="34">
        <v>2.95</v>
      </c>
      <c r="D6" s="31">
        <v>2.9</v>
      </c>
      <c r="E6" s="31">
        <f>$B6*$D6</f>
        <v>30450</v>
      </c>
      <c r="F6" s="32">
        <f>$E6/$E$19</f>
        <v>0.22080626340395537</v>
      </c>
      <c r="G6" s="31">
        <f>$E6-($B6*$C6)</f>
        <v>-525.0000000000036</v>
      </c>
      <c r="I6" s="33"/>
    </row>
    <row r="7" spans="1:7" s="28" customFormat="1" ht="15" customHeight="1">
      <c r="A7" s="29" t="s">
        <v>341</v>
      </c>
      <c r="B7" s="30">
        <v>400</v>
      </c>
      <c r="C7" s="31">
        <v>17.6</v>
      </c>
      <c r="D7" s="31">
        <v>16.8</v>
      </c>
      <c r="E7" s="35">
        <f>$B7*$D7</f>
        <v>6720</v>
      </c>
      <c r="F7" s="32">
        <f>$E7/$E$19</f>
        <v>0.048729658130528083</v>
      </c>
      <c r="G7" s="35">
        <f>$E7-($B7*$C7)</f>
        <v>-320.0000000000009</v>
      </c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SUM($E3:$E7)</f>
        <v>132370</v>
      </c>
      <c r="F10" s="38">
        <f>SUM($F3:$F7)</f>
        <v>0.9598727450502981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15687.196800000012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-10153.5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5533.696800000012</v>
      </c>
      <c r="F17" s="38">
        <f>$E17/$E$19</f>
        <v>0.04012725494970206</v>
      </c>
      <c r="G17" s="52">
        <v>37832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137903.6968</v>
      </c>
      <c r="F19" s="38">
        <f>SUM($F10,$F17)</f>
        <v>1.0000000000000002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</f>
        <v>13486.4201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10.225374545465925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11376.48-1400-500-1021.85-400-400+234-500-360-500-500-500-2500-600-1000+311.615-500+4000-4000+5000-2500-1000</f>
        <v>2740.244999999999</v>
      </c>
      <c r="G23" s="51"/>
    </row>
    <row r="24" spans="1:5" ht="15" customHeight="1">
      <c r="A24" s="113" t="s">
        <v>329</v>
      </c>
      <c r="B24" s="113"/>
      <c r="C24" s="113"/>
      <c r="D24" s="42"/>
      <c r="E24" s="37">
        <v>27742.456600000012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30482.70160000001</v>
      </c>
    </row>
    <row r="26" spans="1:5" ht="15" customHeight="1">
      <c r="A26" s="110" t="s">
        <v>184</v>
      </c>
      <c r="B26" s="110"/>
      <c r="C26" s="49"/>
      <c r="D26" s="49"/>
      <c r="E26" s="50">
        <f>$E$19+$E$23</f>
        <v>140643.9418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C24"/>
    <mergeCell ref="A25:B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23" sqref="F23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370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7000</v>
      </c>
      <c r="C3" s="34">
        <v>9</v>
      </c>
      <c r="D3" s="31">
        <v>8.4</v>
      </c>
      <c r="E3" s="31">
        <f>$B3*$D3</f>
        <v>58800</v>
      </c>
      <c r="F3" s="32">
        <f>$E3/$E$19</f>
        <v>0.4442771880192876</v>
      </c>
      <c r="G3" s="31">
        <f>$E3-($B3*$C3)</f>
        <v>-4200</v>
      </c>
      <c r="I3" s="33"/>
    </row>
    <row r="4" spans="1:9" s="28" customFormat="1" ht="15" customHeight="1">
      <c r="A4" s="29" t="s">
        <v>283</v>
      </c>
      <c r="B4" s="30">
        <v>1000</v>
      </c>
      <c r="C4" s="34">
        <v>8.6</v>
      </c>
      <c r="D4" s="31">
        <v>8.95</v>
      </c>
      <c r="E4" s="31">
        <f>$B4*$D4</f>
        <v>8950</v>
      </c>
      <c r="F4" s="32">
        <f>$E4/$E$19</f>
        <v>0.06762382368660926</v>
      </c>
      <c r="G4" s="31">
        <f>$E4-($B4*$C4)</f>
        <v>350</v>
      </c>
      <c r="I4" s="33"/>
    </row>
    <row r="5" spans="1:9" s="28" customFormat="1" ht="15" customHeight="1">
      <c r="A5" s="29" t="s">
        <v>324</v>
      </c>
      <c r="B5" s="30">
        <v>1100</v>
      </c>
      <c r="C5" s="34">
        <v>25</v>
      </c>
      <c r="D5" s="31">
        <v>25</v>
      </c>
      <c r="E5" s="31">
        <f>$B5*$D5</f>
        <v>27500</v>
      </c>
      <c r="F5" s="32">
        <f>$E5/$E$19</f>
        <v>0.20778269847840833</v>
      </c>
      <c r="G5" s="31">
        <f>$E5-($B5*$C5)</f>
        <v>0</v>
      </c>
      <c r="I5" s="33"/>
    </row>
    <row r="6" spans="1:9" s="28" customFormat="1" ht="15" customHeight="1">
      <c r="A6" s="29" t="s">
        <v>303</v>
      </c>
      <c r="B6" s="30">
        <v>10500</v>
      </c>
      <c r="C6" s="34">
        <v>2.95</v>
      </c>
      <c r="D6" s="31">
        <v>2.9</v>
      </c>
      <c r="E6" s="31">
        <f>$B6*$D6</f>
        <v>30450</v>
      </c>
      <c r="F6" s="32">
        <f>$E6/$E$19</f>
        <v>0.23007211522427395</v>
      </c>
      <c r="G6" s="31">
        <f>$E6-($B6*$C6)</f>
        <v>-525.0000000000036</v>
      </c>
      <c r="I6" s="33"/>
    </row>
    <row r="7" spans="1:7" s="28" customFormat="1" ht="15" customHeight="1">
      <c r="A7" s="29" t="s">
        <v>341</v>
      </c>
      <c r="B7" s="30">
        <v>400</v>
      </c>
      <c r="C7" s="31">
        <v>17.6</v>
      </c>
      <c r="D7" s="31">
        <v>16.6</v>
      </c>
      <c r="E7" s="35">
        <f>$B7*$D7</f>
        <v>6640.000000000001</v>
      </c>
      <c r="F7" s="32">
        <f>$E7/$E$19</f>
        <v>0.05017007701442296</v>
      </c>
      <c r="G7" s="35">
        <f>$E7-($B7*$C7)</f>
        <v>-400</v>
      </c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SUM($E3:$E7)</f>
        <v>132340</v>
      </c>
      <c r="F10" s="38">
        <f>SUM($F3:$F7)</f>
        <v>0.9999259024230022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4">
        <v>5533.696800000012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0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-5523.89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9.806800000012117</v>
      </c>
      <c r="F17" s="38">
        <f>$E17/$E$19</f>
        <v>7.4097576997839E-05</v>
      </c>
      <c r="G17" s="52">
        <v>37833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132349.80680000002</v>
      </c>
      <c r="F19" s="38">
        <f>SUM($F10,$F17)</f>
        <v>1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13963-261-3868+3114+1772+191-195-472-486-535+557-437+1068.68-423.868-501.3919-540.37</f>
        <v>12946.050099999999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10.223180489622857</v>
      </c>
      <c r="F21" s="45"/>
      <c r="G21" s="53"/>
      <c r="H21" s="33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11376.48-1400-500-1021.85-400-400+234-500-360-500-500-500-2500-600-1000+311.615-500+4000-4000+5000-2500-1000-940.53</f>
        <v>1799.714999999999</v>
      </c>
      <c r="F23" s="58">
        <v>5523.889</v>
      </c>
      <c r="G23" s="51"/>
    </row>
    <row r="24" spans="1:5" ht="15" customHeight="1">
      <c r="A24" s="113" t="s">
        <v>329</v>
      </c>
      <c r="B24" s="113"/>
      <c r="C24" s="113"/>
      <c r="D24" s="42"/>
      <c r="E24" s="37">
        <v>24890.803800000012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26690.518800000013</v>
      </c>
    </row>
    <row r="26" spans="1:5" ht="15" customHeight="1">
      <c r="A26" s="110" t="s">
        <v>184</v>
      </c>
      <c r="B26" s="110"/>
      <c r="C26" s="49"/>
      <c r="D26" s="49"/>
      <c r="E26" s="50">
        <f>$E$19+$E$23+F23</f>
        <v>139673.4108</v>
      </c>
    </row>
  </sheetData>
  <mergeCells count="13">
    <mergeCell ref="A26:B26"/>
    <mergeCell ref="A21:B21"/>
    <mergeCell ref="A23:B23"/>
    <mergeCell ref="A24:C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6" sqref="I26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372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7000</v>
      </c>
      <c r="C3" s="34">
        <v>9</v>
      </c>
      <c r="D3" s="31">
        <v>8.45</v>
      </c>
      <c r="E3" s="31">
        <f>$B3*$D3</f>
        <v>59149.99999999999</v>
      </c>
      <c r="F3" s="32">
        <f>$E3/$E$19</f>
        <v>0.44742879306537675</v>
      </c>
      <c r="G3" s="31">
        <f>$E3-($B3*$C3)</f>
        <v>-3850.0000000000073</v>
      </c>
      <c r="I3" s="33"/>
    </row>
    <row r="4" spans="1:9" s="28" customFormat="1" ht="15" customHeight="1">
      <c r="A4" s="29" t="s">
        <v>283</v>
      </c>
      <c r="B4" s="30">
        <v>1000</v>
      </c>
      <c r="C4" s="34">
        <v>8.6</v>
      </c>
      <c r="D4" s="31">
        <v>8.95</v>
      </c>
      <c r="E4" s="31">
        <f>$B4*$D4</f>
        <v>8950</v>
      </c>
      <c r="F4" s="32">
        <f>$E4/$E$19</f>
        <v>0.06770055279687442</v>
      </c>
      <c r="G4" s="31">
        <f>$E4-($B4*$C4)</f>
        <v>350</v>
      </c>
      <c r="I4" s="33"/>
    </row>
    <row r="5" spans="1:9" s="28" customFormat="1" ht="15" customHeight="1">
      <c r="A5" s="29" t="s">
        <v>324</v>
      </c>
      <c r="B5" s="30">
        <v>1100</v>
      </c>
      <c r="C5" s="34">
        <v>25</v>
      </c>
      <c r="D5" s="31">
        <v>25</v>
      </c>
      <c r="E5" s="31">
        <f>$B5*$D5</f>
        <v>27500</v>
      </c>
      <c r="F5" s="32">
        <f>$E5/$E$19</f>
        <v>0.20801845831441862</v>
      </c>
      <c r="G5" s="31">
        <f>$E5-($B5*$C5)</f>
        <v>0</v>
      </c>
      <c r="I5" s="33"/>
    </row>
    <row r="6" spans="1:9" s="28" customFormat="1" ht="15" customHeight="1">
      <c r="A6" s="29" t="s">
        <v>303</v>
      </c>
      <c r="B6" s="30">
        <v>10500</v>
      </c>
      <c r="C6" s="34">
        <v>2.95</v>
      </c>
      <c r="D6" s="31">
        <v>2.86</v>
      </c>
      <c r="E6" s="31">
        <f>$B6*$D6</f>
        <v>30030</v>
      </c>
      <c r="F6" s="32">
        <f>$E6/$E$19</f>
        <v>0.22715615647934514</v>
      </c>
      <c r="G6" s="31">
        <f>$E6-($B6*$C6)</f>
        <v>-945.0000000000036</v>
      </c>
      <c r="I6" s="33"/>
    </row>
    <row r="7" spans="1:7" s="28" customFormat="1" ht="15" customHeight="1">
      <c r="A7" s="29" t="s">
        <v>341</v>
      </c>
      <c r="B7" s="30">
        <v>400</v>
      </c>
      <c r="C7" s="31">
        <v>17.6</v>
      </c>
      <c r="D7" s="31">
        <v>16.4</v>
      </c>
      <c r="E7" s="35">
        <f>$B7*$D7</f>
        <v>6559.999999999999</v>
      </c>
      <c r="F7" s="32">
        <f>$E7/$E$19</f>
        <v>0.04962185769245767</v>
      </c>
      <c r="G7" s="35">
        <f>$E7-($B7*$C7)</f>
        <v>-480.0000000000018</v>
      </c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SUM($E3:$E7)</f>
        <v>132190</v>
      </c>
      <c r="F10" s="38">
        <f>SUM($F3:$F7)</f>
        <v>0.9999258183484727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9.806800000012117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0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9.806800000012117</v>
      </c>
      <c r="F17" s="38">
        <f>$E17/$E$19</f>
        <v>7.418165152728586E-05</v>
      </c>
      <c r="G17" s="52">
        <v>37834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132199.80680000002</v>
      </c>
      <c r="F19" s="38">
        <f>SUM($F10,$F17)</f>
        <v>1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13963-261-3868+3114+1772+191-195-472-486-535+557-437+1068.68-423.868-501.3919-540.37</f>
        <v>12946.050099999999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10.211593944009225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11376.48-1400-500-1021.85-400-400+234-500-360-500-500-500-2500-600-1000+311.615-500+4000-4000+5000-2500-1000-940.53</f>
        <v>1799.714999999999</v>
      </c>
      <c r="F23" s="58">
        <v>5523.889</v>
      </c>
      <c r="G23" s="51"/>
    </row>
    <row r="24" spans="1:5" ht="15" customHeight="1">
      <c r="A24" s="113" t="s">
        <v>329</v>
      </c>
      <c r="B24" s="113"/>
      <c r="C24" s="113"/>
      <c r="D24" s="42"/>
      <c r="E24" s="37">
        <v>15687.196800000012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17486.911800000013</v>
      </c>
    </row>
    <row r="26" spans="1:5" ht="15" customHeight="1">
      <c r="A26" s="110" t="s">
        <v>184</v>
      </c>
      <c r="B26" s="110"/>
      <c r="C26" s="49"/>
      <c r="D26" s="49"/>
      <c r="E26" s="50">
        <f>$E$19+$E$23+F23</f>
        <v>139523.4108</v>
      </c>
    </row>
  </sheetData>
  <mergeCells count="13">
    <mergeCell ref="A26:B26"/>
    <mergeCell ref="A21:B21"/>
    <mergeCell ref="A23:B23"/>
    <mergeCell ref="A24:C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23" sqref="F23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374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7000</v>
      </c>
      <c r="C3" s="34">
        <v>9</v>
      </c>
      <c r="D3" s="31">
        <v>8.25</v>
      </c>
      <c r="E3" s="31">
        <f>$B3*$D3</f>
        <v>57750</v>
      </c>
      <c r="F3" s="32">
        <f>$E3/$E$19</f>
        <v>0.44708590521790575</v>
      </c>
      <c r="G3" s="31">
        <f>$E3-($B3*$C3)</f>
        <v>-5250</v>
      </c>
      <c r="I3" s="33"/>
    </row>
    <row r="4" spans="1:9" s="28" customFormat="1" ht="15" customHeight="1">
      <c r="A4" s="29" t="s">
        <v>283</v>
      </c>
      <c r="B4" s="30">
        <v>1000</v>
      </c>
      <c r="C4" s="34">
        <v>8.6</v>
      </c>
      <c r="D4" s="31">
        <v>8.95</v>
      </c>
      <c r="E4" s="31">
        <f>$B4*$D4</f>
        <v>8950</v>
      </c>
      <c r="F4" s="32">
        <f>$E4/$E$19</f>
        <v>0.06928863812467977</v>
      </c>
      <c r="G4" s="31">
        <f>$E4-($B4*$C4)</f>
        <v>350</v>
      </c>
      <c r="I4" s="33"/>
    </row>
    <row r="5" spans="1:9" s="28" customFormat="1" ht="15" customHeight="1">
      <c r="A5" s="29" t="s">
        <v>324</v>
      </c>
      <c r="B5" s="30">
        <v>1100</v>
      </c>
      <c r="C5" s="34">
        <v>25</v>
      </c>
      <c r="D5" s="31">
        <v>25</v>
      </c>
      <c r="E5" s="31">
        <f>$B5*$D5</f>
        <v>27500</v>
      </c>
      <c r="F5" s="32">
        <f>$E5/$E$19</f>
        <v>0.21289805010376464</v>
      </c>
      <c r="G5" s="31">
        <f>$E5-($B5*$C5)</f>
        <v>0</v>
      </c>
      <c r="I5" s="33"/>
    </row>
    <row r="6" spans="1:9" s="28" customFormat="1" ht="15" customHeight="1">
      <c r="A6" s="29" t="s">
        <v>303</v>
      </c>
      <c r="B6" s="30">
        <v>10500</v>
      </c>
      <c r="C6" s="34">
        <v>2.95</v>
      </c>
      <c r="D6" s="31">
        <v>2.72</v>
      </c>
      <c r="E6" s="31">
        <f>$B6*$D6</f>
        <v>28560.000000000004</v>
      </c>
      <c r="F6" s="32">
        <f>$E6/$E$19</f>
        <v>0.22110430221685523</v>
      </c>
      <c r="G6" s="31">
        <f>$E6-($B6*$C6)</f>
        <v>-2415</v>
      </c>
      <c r="I6" s="33"/>
    </row>
    <row r="7" spans="1:7" s="28" customFormat="1" ht="15" customHeight="1">
      <c r="A7" s="29" t="s">
        <v>341</v>
      </c>
      <c r="B7" s="30">
        <v>400</v>
      </c>
      <c r="C7" s="31">
        <v>17.6</v>
      </c>
      <c r="D7" s="31">
        <v>16</v>
      </c>
      <c r="E7" s="35">
        <f>$B7*$D7</f>
        <v>6400</v>
      </c>
      <c r="F7" s="32">
        <f>$E7/$E$19</f>
        <v>0.04954718256960341</v>
      </c>
      <c r="G7" s="35">
        <f>$E7-($B7*$C7)</f>
        <v>-640.0000000000009</v>
      </c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SUM($E3:$E7)</f>
        <v>129160</v>
      </c>
      <c r="F10" s="38">
        <f>SUM($F3:$F7)</f>
        <v>0.9999240782328087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9.806800000012117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0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9.806800000012117</v>
      </c>
      <c r="F17" s="38">
        <f>$E17/$E$19</f>
        <v>7.592176719127924E-05</v>
      </c>
      <c r="G17" s="52">
        <v>37837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129169.8068</v>
      </c>
      <c r="F19" s="38">
        <f>SUM($F10,$F17)</f>
        <v>1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13963-261-3868+3114+1772+191-195-472-486-535+557-437+1068.68-423.868-501.3919-540.37</f>
        <v>12946.050099999999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9.977545722613883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11376.48-1400-500-1021.85-400-400+234-500-360-500-500-500-2500-600-1000+311.615-500+4000-4000+5000-2500-1000-940.53-2000</f>
        <v>-200.285000000001</v>
      </c>
      <c r="F23" s="58">
        <v>5523.889</v>
      </c>
      <c r="G23" s="51"/>
    </row>
    <row r="24" spans="1:5" ht="15" customHeight="1">
      <c r="A24" s="113" t="s">
        <v>329</v>
      </c>
      <c r="B24" s="113"/>
      <c r="C24" s="113"/>
      <c r="D24" s="42"/>
      <c r="E24" s="37">
        <v>5533.696800000012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5333.411800000012</v>
      </c>
    </row>
    <row r="26" spans="1:5" ht="15" customHeight="1">
      <c r="A26" s="110" t="s">
        <v>184</v>
      </c>
      <c r="B26" s="110"/>
      <c r="C26" s="49"/>
      <c r="D26" s="49"/>
      <c r="E26" s="50">
        <f>$E$19+$E$23+F23</f>
        <v>134493.4108</v>
      </c>
    </row>
  </sheetData>
  <mergeCells count="13">
    <mergeCell ref="A26:B26"/>
    <mergeCell ref="A21:B21"/>
    <mergeCell ref="A23:B23"/>
    <mergeCell ref="A24:C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K29" sqref="K29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376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7000</v>
      </c>
      <c r="C3" s="34">
        <v>9</v>
      </c>
      <c r="D3" s="31">
        <v>8.4</v>
      </c>
      <c r="E3" s="31">
        <f>$B3*$D3</f>
        <v>58800</v>
      </c>
      <c r="F3" s="32">
        <f>$E3/$E$19</f>
        <v>0.4496794652651628</v>
      </c>
      <c r="G3" s="31">
        <f>$E3-($B3*$C3)</f>
        <v>-4200</v>
      </c>
      <c r="I3" s="33"/>
    </row>
    <row r="4" spans="1:9" s="28" customFormat="1" ht="15" customHeight="1">
      <c r="A4" s="29" t="s">
        <v>283</v>
      </c>
      <c r="B4" s="30">
        <v>1000</v>
      </c>
      <c r="C4" s="34">
        <v>8.6</v>
      </c>
      <c r="D4" s="31">
        <v>8.95</v>
      </c>
      <c r="E4" s="31">
        <f>$B4*$D4</f>
        <v>8950</v>
      </c>
      <c r="F4" s="32">
        <f>$E4/$E$19</f>
        <v>0.06844610908372802</v>
      </c>
      <c r="G4" s="31">
        <f>$E4-($B4*$C4)</f>
        <v>350</v>
      </c>
      <c r="I4" s="33"/>
    </row>
    <row r="5" spans="1:9" s="28" customFormat="1" ht="15" customHeight="1">
      <c r="A5" s="29" t="s">
        <v>324</v>
      </c>
      <c r="B5" s="30">
        <v>1100</v>
      </c>
      <c r="C5" s="34">
        <v>25</v>
      </c>
      <c r="D5" s="31">
        <v>25.5</v>
      </c>
      <c r="E5" s="31">
        <f>$B5*$D5</f>
        <v>28050</v>
      </c>
      <c r="F5" s="32">
        <f>$E5/$E$19</f>
        <v>0.21451545919537102</v>
      </c>
      <c r="G5" s="31">
        <f>$E5-($B5*$C5)</f>
        <v>550</v>
      </c>
      <c r="I5" s="33"/>
    </row>
    <row r="6" spans="1:9" s="28" customFormat="1" ht="15" customHeight="1">
      <c r="A6" s="29" t="s">
        <v>303</v>
      </c>
      <c r="B6" s="30">
        <v>10500</v>
      </c>
      <c r="C6" s="34">
        <v>2.95</v>
      </c>
      <c r="D6" s="31">
        <v>2.7</v>
      </c>
      <c r="E6" s="31">
        <f>$B6*$D6</f>
        <v>28350.000000000004</v>
      </c>
      <c r="F6" s="32">
        <f>$E6/$E$19</f>
        <v>0.2168097421814178</v>
      </c>
      <c r="G6" s="31">
        <f>$E6-($B6*$C6)</f>
        <v>-2625</v>
      </c>
      <c r="I6" s="33"/>
    </row>
    <row r="7" spans="1:7" s="28" customFormat="1" ht="15" customHeight="1">
      <c r="A7" s="29" t="s">
        <v>341</v>
      </c>
      <c r="B7" s="30">
        <v>400</v>
      </c>
      <c r="C7" s="31">
        <v>17.6</v>
      </c>
      <c r="D7" s="31">
        <v>16.5</v>
      </c>
      <c r="E7" s="35">
        <f>$B7*$D7</f>
        <v>6600</v>
      </c>
      <c r="F7" s="32">
        <f>$E7/$E$19</f>
        <v>0.05047422569302848</v>
      </c>
      <c r="G7" s="35">
        <f>$E7-($B7*$C7)</f>
        <v>-440.0000000000009</v>
      </c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SUM($E3:$E7)</f>
        <v>130750</v>
      </c>
      <c r="F10" s="38">
        <f>SUM($F3:$F7)</f>
        <v>0.9999250014187082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9.806800000012117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0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9.806800000012117</v>
      </c>
      <c r="F17" s="38">
        <f>$E17/$E$19</f>
        <v>7.49985812919702E-05</v>
      </c>
      <c r="G17" s="52">
        <v>37838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130759.8068</v>
      </c>
      <c r="F19" s="38">
        <f>SUM($F10,$F17)</f>
        <v>1.0000000000000002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13963-261-3868+3114+1772+191-195-472-486-535+557-437+1068.68-423.868-501.3919-540.37</f>
        <v>12946.050099999999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10.100363106118369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11376.48-1400-500-1021.85-400-400+234-500-360-500-500-500-2500-600-1000+311.615-500+4000-4000+5000-2500-1000-940.53-2000+5523.89</f>
        <v>5323.605</v>
      </c>
      <c r="F23" s="56"/>
      <c r="G23" s="51"/>
    </row>
    <row r="24" spans="1:5" ht="15" customHeight="1">
      <c r="A24" s="113" t="s">
        <v>329</v>
      </c>
      <c r="B24" s="113"/>
      <c r="C24" s="113"/>
      <c r="D24" s="42"/>
      <c r="E24" s="37">
        <v>0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5323.605</v>
      </c>
    </row>
    <row r="26" spans="1:5" ht="15" customHeight="1">
      <c r="A26" s="110" t="s">
        <v>184</v>
      </c>
      <c r="B26" s="110"/>
      <c r="C26" s="49"/>
      <c r="D26" s="49"/>
      <c r="E26" s="50">
        <f>$E$19+$E$23+F23</f>
        <v>136083.4118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C24"/>
    <mergeCell ref="A25:B2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6" sqref="E26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378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7000</v>
      </c>
      <c r="C3" s="34">
        <v>9</v>
      </c>
      <c r="D3" s="31">
        <v>8.6</v>
      </c>
      <c r="E3" s="31">
        <f>$B3*$D3</f>
        <v>60200</v>
      </c>
      <c r="F3" s="32">
        <f>$E3/$E$19</f>
        <v>0.4562340897645027</v>
      </c>
      <c r="G3" s="31">
        <f>$E3-($B3*$C3)</f>
        <v>-2800</v>
      </c>
      <c r="I3" s="33"/>
    </row>
    <row r="4" spans="1:9" s="28" customFormat="1" ht="15" customHeight="1">
      <c r="A4" s="29" t="s">
        <v>283</v>
      </c>
      <c r="B4" s="30">
        <v>1000</v>
      </c>
      <c r="C4" s="34">
        <v>8.6</v>
      </c>
      <c r="D4" s="31">
        <v>8.95</v>
      </c>
      <c r="E4" s="31">
        <f>$B4*$D4</f>
        <v>8950</v>
      </c>
      <c r="F4" s="32">
        <f>$E4/$E$19</f>
        <v>0.0678288223154867</v>
      </c>
      <c r="G4" s="31">
        <f>$E4-($B4*$C4)</f>
        <v>350</v>
      </c>
      <c r="I4" s="33"/>
    </row>
    <row r="5" spans="1:9" s="28" customFormat="1" ht="15" customHeight="1">
      <c r="A5" s="29" t="s">
        <v>324</v>
      </c>
      <c r="B5" s="30">
        <v>1100</v>
      </c>
      <c r="C5" s="34">
        <v>25</v>
      </c>
      <c r="D5" s="31">
        <v>24.9</v>
      </c>
      <c r="E5" s="31">
        <f>$B5*$D5</f>
        <v>27390</v>
      </c>
      <c r="F5" s="32">
        <f>$E5/$E$19</f>
        <v>0.2075789322034839</v>
      </c>
      <c r="G5" s="31">
        <f>$E5-($B5*$C5)</f>
        <v>-110</v>
      </c>
      <c r="I5" s="33"/>
    </row>
    <row r="6" spans="1:9" s="28" customFormat="1" ht="15" customHeight="1">
      <c r="A6" s="29" t="s">
        <v>303</v>
      </c>
      <c r="B6" s="30">
        <v>10500</v>
      </c>
      <c r="C6" s="34">
        <v>2.95</v>
      </c>
      <c r="D6" s="31">
        <v>2.72</v>
      </c>
      <c r="E6" s="31">
        <f>$B6*$D6</f>
        <v>28560.000000000004</v>
      </c>
      <c r="F6" s="32">
        <f>$E6/$E$19</f>
        <v>0.21644594026036876</v>
      </c>
      <c r="G6" s="31">
        <f>$E6-($B6*$C6)</f>
        <v>-2415</v>
      </c>
      <c r="I6" s="33"/>
    </row>
    <row r="7" spans="1:7" s="28" customFormat="1" ht="15" customHeight="1">
      <c r="A7" s="29" t="s">
        <v>341</v>
      </c>
      <c r="B7" s="30">
        <v>400</v>
      </c>
      <c r="C7" s="31">
        <v>17.6</v>
      </c>
      <c r="D7" s="31">
        <v>17.1</v>
      </c>
      <c r="E7" s="35">
        <f>$B7*$D7</f>
        <v>6840.000000000001</v>
      </c>
      <c r="F7" s="32">
        <f>$E7/$E$19</f>
        <v>0.05183789325563454</v>
      </c>
      <c r="G7" s="35">
        <f>$E7-($B7*$C7)</f>
        <v>-200</v>
      </c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SUM($E3:$E7)</f>
        <v>131940</v>
      </c>
      <c r="F10" s="38">
        <f>SUM($F3:$F7)</f>
        <v>0.9999256777994765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9.806800000012117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0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9.806800000012117</v>
      </c>
      <c r="F17" s="38">
        <f>$E17/$E$19</f>
        <v>7.43222005233896E-05</v>
      </c>
      <c r="G17" s="52">
        <v>37839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131949.80680000002</v>
      </c>
      <c r="F19" s="38">
        <f>SUM($F10,$F17)</f>
        <v>0.9999999999999999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13963-261-3868+3114+1772+191-195-472-486-535+557-437+1068.68-423.868-501.3919-540.37</f>
        <v>12946.050099999999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10.192283034653174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5323.605-400</f>
        <v>4923.605</v>
      </c>
      <c r="F23" s="56"/>
      <c r="G23" s="51"/>
    </row>
    <row r="24" spans="1:5" ht="15" customHeight="1">
      <c r="A24" s="113" t="s">
        <v>329</v>
      </c>
      <c r="B24" s="113"/>
      <c r="C24" s="113"/>
      <c r="D24" s="42"/>
      <c r="E24" s="37">
        <v>9.806800000012117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4933.411800000012</v>
      </c>
    </row>
    <row r="26" spans="1:5" ht="15" customHeight="1">
      <c r="A26" s="110" t="s">
        <v>184</v>
      </c>
      <c r="B26" s="110"/>
      <c r="C26" s="49"/>
      <c r="D26" s="49"/>
      <c r="E26" s="50">
        <f>$E$19+$E$23+F23</f>
        <v>136873.41180000003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C24"/>
    <mergeCell ref="A25:B2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2" sqref="E12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380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6000</v>
      </c>
      <c r="C3" s="34">
        <v>8.98</v>
      </c>
      <c r="D3" s="31">
        <v>8.75</v>
      </c>
      <c r="E3" s="31">
        <f>$B3*$D3</f>
        <v>52500</v>
      </c>
      <c r="F3" s="32">
        <f>$E3/$E$19</f>
        <v>0.3876629338634762</v>
      </c>
      <c r="G3" s="31">
        <f>$E3-($B3*$C3)</f>
        <v>-1380</v>
      </c>
      <c r="I3" s="33"/>
    </row>
    <row r="4" spans="1:9" s="28" customFormat="1" ht="15" customHeight="1">
      <c r="A4" s="29" t="s">
        <v>324</v>
      </c>
      <c r="B4" s="30">
        <v>1100</v>
      </c>
      <c r="C4" s="34">
        <v>25</v>
      </c>
      <c r="D4" s="31">
        <v>24.9</v>
      </c>
      <c r="E4" s="31">
        <f>$B4*$D4</f>
        <v>27390</v>
      </c>
      <c r="F4" s="32">
        <f>$E4/$E$19</f>
        <v>0.20224929063848787</v>
      </c>
      <c r="G4" s="31">
        <f>$E4-($B4*$C4)</f>
        <v>-110</v>
      </c>
      <c r="I4" s="33"/>
    </row>
    <row r="5" spans="1:9" s="28" customFormat="1" ht="15" customHeight="1">
      <c r="A5" s="29" t="s">
        <v>303</v>
      </c>
      <c r="B5" s="30">
        <v>10500</v>
      </c>
      <c r="C5" s="34">
        <v>2.95</v>
      </c>
      <c r="D5" s="31">
        <v>2.94</v>
      </c>
      <c r="E5" s="31">
        <f>$B5*$D5</f>
        <v>30870</v>
      </c>
      <c r="F5" s="32">
        <f>$E5/$E$19</f>
        <v>0.22794580511172402</v>
      </c>
      <c r="G5" s="31">
        <f>$E5-($B5*$C5)</f>
        <v>-105.00000000000364</v>
      </c>
      <c r="I5" s="33"/>
    </row>
    <row r="6" spans="1:7" s="28" customFormat="1" ht="15" customHeight="1">
      <c r="A6" s="29"/>
      <c r="B6" s="30"/>
      <c r="C6" s="31"/>
      <c r="D6" s="31"/>
      <c r="E6" s="35"/>
      <c r="F6" s="32"/>
      <c r="G6" s="35"/>
    </row>
    <row r="7" spans="1:7" s="28" customFormat="1" ht="15" customHeight="1">
      <c r="A7" s="29"/>
      <c r="B7" s="30"/>
      <c r="C7" s="31"/>
      <c r="D7" s="31"/>
      <c r="E7" s="35"/>
      <c r="F7" s="32"/>
      <c r="G7" s="35"/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SUM($E3:$E5)</f>
        <v>110760</v>
      </c>
      <c r="F10" s="38">
        <f>SUM($F3:$F5)</f>
        <v>0.8178580296136881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9.806800000012117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0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24657.1206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24666.92740000001</v>
      </c>
      <c r="F17" s="38">
        <f>$E17/$E$19</f>
        <v>0.18214197038631189</v>
      </c>
      <c r="G17" s="52">
        <v>37840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135426.92740000002</v>
      </c>
      <c r="F19" s="38">
        <f>SUM($F10,$F17)</f>
        <v>1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13963-261-3868+3114+1772+191-195-472-486-535+557-437+1068.68-423.868-501.3919-540.37</f>
        <v>12946.050099999999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10.46086847755981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5323.605-400-500+22000+9999</f>
        <v>36422.604999999996</v>
      </c>
      <c r="F23" s="56"/>
      <c r="G23" s="51"/>
    </row>
    <row r="24" spans="1:5" ht="15" customHeight="1">
      <c r="A24" s="113" t="s">
        <v>329</v>
      </c>
      <c r="B24" s="113"/>
      <c r="C24" s="113"/>
      <c r="D24" s="42"/>
      <c r="E24" s="37">
        <v>9.806800000012117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36432.41180000001</v>
      </c>
    </row>
    <row r="26" spans="1:5" ht="15" customHeight="1">
      <c r="A26" s="110" t="s">
        <v>184</v>
      </c>
      <c r="B26" s="110"/>
      <c r="C26" s="49"/>
      <c r="D26" s="49"/>
      <c r="E26" s="50">
        <f>$E$19+$E$23+F23</f>
        <v>171849.53240000003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C24"/>
    <mergeCell ref="A25:B2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383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6000</v>
      </c>
      <c r="C3" s="34">
        <v>8.98</v>
      </c>
      <c r="D3" s="31">
        <v>8.65</v>
      </c>
      <c r="E3" s="31">
        <f>$B3*$D3</f>
        <v>51900</v>
      </c>
      <c r="F3" s="32">
        <f>$E3/$E$19</f>
        <v>0.38856924397588555</v>
      </c>
      <c r="G3" s="31">
        <f>$E3-($B3*$C3)</f>
        <v>-1980</v>
      </c>
      <c r="I3" s="33"/>
    </row>
    <row r="4" spans="1:9" s="28" customFormat="1" ht="15" customHeight="1">
      <c r="A4" s="29" t="s">
        <v>324</v>
      </c>
      <c r="B4" s="30">
        <v>1100</v>
      </c>
      <c r="C4" s="34">
        <v>25</v>
      </c>
      <c r="D4" s="31">
        <v>24.9</v>
      </c>
      <c r="E4" s="31">
        <f>$B4*$D4</f>
        <v>27390</v>
      </c>
      <c r="F4" s="32">
        <f>$E4/$E$19</f>
        <v>0.20506573395952804</v>
      </c>
      <c r="G4" s="31">
        <f>$E4-($B4*$C4)</f>
        <v>-110</v>
      </c>
      <c r="I4" s="33"/>
    </row>
    <row r="5" spans="1:9" s="28" customFormat="1" ht="15" customHeight="1">
      <c r="A5" s="29" t="s">
        <v>303</v>
      </c>
      <c r="B5" s="30">
        <v>10500</v>
      </c>
      <c r="C5" s="34">
        <v>2.95</v>
      </c>
      <c r="D5" s="31">
        <v>2.82</v>
      </c>
      <c r="E5" s="31">
        <f>$B5*$D5</f>
        <v>29610</v>
      </c>
      <c r="F5" s="32">
        <f>$E5/$E$19</f>
        <v>0.221686614915722</v>
      </c>
      <c r="G5" s="31">
        <f>$E5-($B5*$C5)</f>
        <v>-1365.0000000000036</v>
      </c>
      <c r="I5" s="33"/>
    </row>
    <row r="6" spans="1:7" s="28" customFormat="1" ht="15" customHeight="1">
      <c r="A6" s="29"/>
      <c r="B6" s="30"/>
      <c r="C6" s="31"/>
      <c r="D6" s="31"/>
      <c r="E6" s="35"/>
      <c r="F6" s="32"/>
      <c r="G6" s="35"/>
    </row>
    <row r="7" spans="1:7" s="28" customFormat="1" ht="15" customHeight="1">
      <c r="A7" s="29"/>
      <c r="B7" s="30"/>
      <c r="C7" s="31"/>
      <c r="D7" s="31"/>
      <c r="E7" s="35"/>
      <c r="F7" s="32"/>
      <c r="G7" s="35"/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SUM($E3:$E5)</f>
        <v>108900</v>
      </c>
      <c r="F10" s="38">
        <f>SUM($F3:$F5)</f>
        <v>0.8153215928511355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24666.92740000001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0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24666.92740000001</v>
      </c>
      <c r="F17" s="38">
        <f>$E17/$E$19</f>
        <v>0.18467840714886438</v>
      </c>
      <c r="G17" s="52">
        <v>37841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133566.92740000002</v>
      </c>
      <c r="F19" s="38">
        <f>SUM($F10,$F17)</f>
        <v>0.9999999999999999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13963-261-3868+3114+1772+191-195-472-486-535+557-437+1068.68-423.868-501.3919-540.37</f>
        <v>12946.050099999999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10.317195311950789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5323.605-400-500+22000+9999</f>
        <v>36422.604999999996</v>
      </c>
      <c r="F23" s="56"/>
      <c r="G23" s="51"/>
    </row>
    <row r="24" spans="1:5" ht="15" customHeight="1">
      <c r="A24" s="113" t="s">
        <v>329</v>
      </c>
      <c r="B24" s="113"/>
      <c r="C24" s="113"/>
      <c r="D24" s="42"/>
      <c r="E24" s="37">
        <v>9.806800000012117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36432.41180000001</v>
      </c>
    </row>
    <row r="26" spans="1:5" ht="15" customHeight="1">
      <c r="A26" s="110" t="s">
        <v>184</v>
      </c>
      <c r="B26" s="110"/>
      <c r="C26" s="49"/>
      <c r="D26" s="49"/>
      <c r="E26" s="50">
        <f>$E$19+$E$23+F23</f>
        <v>169989.53240000003</v>
      </c>
    </row>
  </sheetData>
  <mergeCells count="13">
    <mergeCell ref="A26:B26"/>
    <mergeCell ref="A21:B21"/>
    <mergeCell ref="A23:B23"/>
    <mergeCell ref="A24:C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6" sqref="E26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385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6000</v>
      </c>
      <c r="C3" s="34">
        <v>8.98</v>
      </c>
      <c r="D3" s="31">
        <v>8.95</v>
      </c>
      <c r="E3" s="31">
        <f>$B3*$D3</f>
        <v>53699.99999999999</v>
      </c>
      <c r="F3" s="32">
        <f>$E3/$E$19</f>
        <v>0.39012543160313873</v>
      </c>
      <c r="G3" s="31">
        <f>$E3-($B3*$C3)</f>
        <v>-180.00000000000728</v>
      </c>
      <c r="I3" s="33"/>
    </row>
    <row r="4" spans="1:9" s="28" customFormat="1" ht="15" customHeight="1">
      <c r="A4" s="29" t="s">
        <v>324</v>
      </c>
      <c r="B4" s="30">
        <v>600</v>
      </c>
      <c r="C4" s="34">
        <v>25</v>
      </c>
      <c r="D4" s="31">
        <v>27</v>
      </c>
      <c r="E4" s="31">
        <f>$B4*$D4</f>
        <v>16200</v>
      </c>
      <c r="F4" s="32">
        <f>$E4/$E$19</f>
        <v>0.11769147098642176</v>
      </c>
      <c r="G4" s="31">
        <f>$E4-($B4*$C4)</f>
        <v>1200</v>
      </c>
      <c r="I4" s="33"/>
    </row>
    <row r="5" spans="1:9" s="28" customFormat="1" ht="15" customHeight="1">
      <c r="A5" s="29" t="s">
        <v>303</v>
      </c>
      <c r="B5" s="30">
        <v>10500</v>
      </c>
      <c r="C5" s="34">
        <v>2.95</v>
      </c>
      <c r="D5" s="31">
        <v>2.82</v>
      </c>
      <c r="E5" s="31">
        <f>$B5*$D5</f>
        <v>29610</v>
      </c>
      <c r="F5" s="32">
        <f>$E5/$E$19</f>
        <v>0.21511385530295976</v>
      </c>
      <c r="G5" s="31">
        <f>$E5-($B5*$C5)</f>
        <v>-1365.0000000000036</v>
      </c>
      <c r="I5" s="33"/>
    </row>
    <row r="6" spans="1:7" s="28" customFormat="1" ht="15" customHeight="1">
      <c r="A6" s="29"/>
      <c r="B6" s="30"/>
      <c r="C6" s="31"/>
      <c r="D6" s="31"/>
      <c r="E6" s="35"/>
      <c r="F6" s="32"/>
      <c r="G6" s="35"/>
    </row>
    <row r="7" spans="1:7" s="28" customFormat="1" ht="15" customHeight="1">
      <c r="A7" s="29"/>
      <c r="B7" s="30"/>
      <c r="C7" s="31"/>
      <c r="D7" s="31"/>
      <c r="E7" s="35"/>
      <c r="F7" s="32"/>
      <c r="G7" s="35"/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SUM($E3:$E5)</f>
        <v>99510</v>
      </c>
      <c r="F10" s="38">
        <f>SUM($F3:$F5)</f>
        <v>0.7229307578925203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24666.92740000001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0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13471.11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38138.037400000016</v>
      </c>
      <c r="F17" s="38">
        <f>$E17/$E$19</f>
        <v>0.27706924210747963</v>
      </c>
      <c r="G17" s="52">
        <v>37844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137648.03740000003</v>
      </c>
      <c r="F19" s="38">
        <f>SUM($F10,$F17)</f>
        <v>0.9999999999999999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13963-261-3868+3114+1772+191-195-472-486-535+557-437+1068.68-423.868-501.3919-540.37</f>
        <v>12946.050099999999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10.632435093079089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5323.605-400-500+22000+9999-400</f>
        <v>36022.604999999996</v>
      </c>
      <c r="F23" s="56"/>
      <c r="G23" s="51"/>
    </row>
    <row r="24" spans="1:5" ht="15" customHeight="1">
      <c r="A24" s="113" t="s">
        <v>329</v>
      </c>
      <c r="B24" s="113"/>
      <c r="C24" s="113"/>
      <c r="D24" s="42"/>
      <c r="E24" s="37">
        <v>9.806800000012117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36032.41180000001</v>
      </c>
    </row>
    <row r="26" spans="1:5" ht="15" customHeight="1">
      <c r="A26" s="110" t="s">
        <v>184</v>
      </c>
      <c r="B26" s="110"/>
      <c r="C26" s="49"/>
      <c r="D26" s="49"/>
      <c r="E26" s="50">
        <f>$E$19+$E$23+F23</f>
        <v>173670.6424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C24"/>
    <mergeCell ref="A25:B2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27" sqref="H27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389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6000</v>
      </c>
      <c r="C3" s="34">
        <v>8.98</v>
      </c>
      <c r="D3" s="31">
        <v>8.9</v>
      </c>
      <c r="E3" s="31">
        <f>$B3*$D3</f>
        <v>53400</v>
      </c>
      <c r="F3" s="32">
        <f>$E3/$E$19</f>
        <v>0.38734598718250796</v>
      </c>
      <c r="G3" s="31">
        <f>$E3-($B3*$C3)</f>
        <v>-480</v>
      </c>
      <c r="I3" s="33"/>
    </row>
    <row r="4" spans="1:9" s="28" customFormat="1" ht="15" customHeight="1">
      <c r="A4" s="29" t="s">
        <v>324</v>
      </c>
      <c r="B4" s="30">
        <v>1100</v>
      </c>
      <c r="C4" s="34">
        <v>25.5</v>
      </c>
      <c r="D4" s="31">
        <v>26</v>
      </c>
      <c r="E4" s="31">
        <f>$B4*$D4</f>
        <v>28600</v>
      </c>
      <c r="F4" s="32">
        <f>$E4/$E$19</f>
        <v>0.20745496691797244</v>
      </c>
      <c r="G4" s="31">
        <f>$E4-($B4*$C4)</f>
        <v>550</v>
      </c>
      <c r="I4" s="33"/>
    </row>
    <row r="5" spans="1:9" s="28" customFormat="1" ht="15" customHeight="1">
      <c r="A5" s="29" t="s">
        <v>303</v>
      </c>
      <c r="B5" s="30">
        <v>10500</v>
      </c>
      <c r="C5" s="34">
        <v>2.95</v>
      </c>
      <c r="D5" s="31">
        <v>2.92</v>
      </c>
      <c r="E5" s="31">
        <f>$B5*$D5</f>
        <v>30660</v>
      </c>
      <c r="F5" s="32">
        <f>$E5/$E$19</f>
        <v>0.222397527472204</v>
      </c>
      <c r="G5" s="31">
        <f>$E5-($B5*$C5)</f>
        <v>-315.00000000000364</v>
      </c>
      <c r="I5" s="33"/>
    </row>
    <row r="6" spans="1:7" s="28" customFormat="1" ht="15" customHeight="1">
      <c r="A6" s="29" t="s">
        <v>390</v>
      </c>
      <c r="B6" s="30">
        <v>2000</v>
      </c>
      <c r="C6" s="31">
        <v>8.03</v>
      </c>
      <c r="D6" s="31">
        <v>8</v>
      </c>
      <c r="E6" s="31">
        <f>$B6*$D6</f>
        <v>16000</v>
      </c>
      <c r="F6" s="32">
        <f>$E6/$E$19</f>
        <v>0.11605872275131325</v>
      </c>
      <c r="G6" s="31">
        <f>$E6-($B6*$C6)</f>
        <v>-59.99999999999818</v>
      </c>
    </row>
    <row r="7" spans="1:7" s="28" customFormat="1" ht="15" customHeight="1">
      <c r="A7" s="29"/>
      <c r="B7" s="30"/>
      <c r="C7" s="31"/>
      <c r="D7" s="31"/>
      <c r="E7" s="35"/>
      <c r="F7" s="32"/>
      <c r="G7" s="35"/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SUM(E3:E9)</f>
        <v>128660</v>
      </c>
      <c r="F10" s="38">
        <f>SUM($F3:$F5)</f>
        <v>0.8171984815726844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38138.037400000016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-28936.7925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9201.244900000016</v>
      </c>
      <c r="F17" s="38">
        <f>$E17/$E$19</f>
        <v>0.0667427956760023</v>
      </c>
      <c r="G17" s="52">
        <v>37846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137861.24490000002</v>
      </c>
      <c r="F19" s="38">
        <f>SUM($F10,$F17)</f>
        <v>0.8839412772486867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13963-261-3868+3114+1772+191-195-472-486-535+557-437+1068.68-423.868-501.3919-540.37</f>
        <v>12946.050099999999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10.64890401590521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5323.605-400-500+22000+9999-400</f>
        <v>36022.604999999996</v>
      </c>
      <c r="F23" s="56"/>
      <c r="G23" s="51"/>
    </row>
    <row r="24" spans="1:6" ht="15" customHeight="1">
      <c r="A24" s="113" t="s">
        <v>329</v>
      </c>
      <c r="B24" s="113"/>
      <c r="C24" s="113"/>
      <c r="D24" s="42"/>
      <c r="E24" s="37">
        <v>9.806800000012117</v>
      </c>
      <c r="F24" s="59">
        <v>24657.1206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36032.41180000001</v>
      </c>
    </row>
    <row r="26" spans="1:5" ht="15" customHeight="1">
      <c r="A26" s="110" t="s">
        <v>184</v>
      </c>
      <c r="B26" s="110"/>
      <c r="C26" s="49"/>
      <c r="D26" s="49"/>
      <c r="E26" s="50">
        <f>$E$19+$E$23+F23</f>
        <v>173883.84990000003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C24"/>
    <mergeCell ref="A25:B2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5" sqref="E25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339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303</v>
      </c>
      <c r="B3" s="30">
        <v>10000</v>
      </c>
      <c r="C3" s="34">
        <v>2.62</v>
      </c>
      <c r="D3" s="31">
        <v>2.88</v>
      </c>
      <c r="E3" s="31">
        <f aca="true" t="shared" si="0" ref="E3:E9">$B3*$D3</f>
        <v>28800</v>
      </c>
      <c r="F3" s="32">
        <f aca="true" t="shared" si="1" ref="F3:F9">$E3/$E$19</f>
        <v>0.2094648392422671</v>
      </c>
      <c r="G3" s="31">
        <f aca="true" t="shared" si="2" ref="G3:G9">$E3-($B3*$C3)</f>
        <v>2600</v>
      </c>
      <c r="I3" s="33"/>
    </row>
    <row r="4" spans="1:9" s="28" customFormat="1" ht="15" customHeight="1">
      <c r="A4" s="29" t="s">
        <v>304</v>
      </c>
      <c r="B4" s="30">
        <v>4000</v>
      </c>
      <c r="C4" s="34">
        <v>9.15</v>
      </c>
      <c r="D4" s="31">
        <v>9.05</v>
      </c>
      <c r="E4" s="31">
        <f t="shared" si="0"/>
        <v>36200</v>
      </c>
      <c r="F4" s="32">
        <f t="shared" si="1"/>
        <v>0.2632856659920163</v>
      </c>
      <c r="G4" s="31">
        <f t="shared" si="2"/>
        <v>-400</v>
      </c>
      <c r="I4" s="33"/>
    </row>
    <row r="5" spans="1:9" s="28" customFormat="1" ht="15" customHeight="1">
      <c r="A5" s="29" t="s">
        <v>324</v>
      </c>
      <c r="B5" s="30">
        <v>600</v>
      </c>
      <c r="C5" s="34">
        <v>25.31</v>
      </c>
      <c r="D5" s="31">
        <v>25</v>
      </c>
      <c r="E5" s="31">
        <f t="shared" si="0"/>
        <v>15000</v>
      </c>
      <c r="F5" s="32">
        <f t="shared" si="1"/>
        <v>0.10909627043868078</v>
      </c>
      <c r="G5" s="31">
        <f t="shared" si="2"/>
        <v>-186</v>
      </c>
      <c r="I5" s="33"/>
    </row>
    <row r="6" spans="1:9" s="28" customFormat="1" ht="15" customHeight="1">
      <c r="A6" s="29" t="s">
        <v>283</v>
      </c>
      <c r="B6" s="30">
        <v>2000</v>
      </c>
      <c r="C6" s="34">
        <v>8.52</v>
      </c>
      <c r="D6" s="31">
        <v>9</v>
      </c>
      <c r="E6" s="31">
        <f t="shared" si="0"/>
        <v>18000</v>
      </c>
      <c r="F6" s="32">
        <f t="shared" si="1"/>
        <v>0.13091552452641694</v>
      </c>
      <c r="G6" s="31">
        <f t="shared" si="2"/>
        <v>960</v>
      </c>
      <c r="I6" s="33"/>
    </row>
    <row r="7" spans="1:9" s="28" customFormat="1" ht="15" customHeight="1">
      <c r="A7" s="29" t="s">
        <v>336</v>
      </c>
      <c r="B7" s="30">
        <v>2000</v>
      </c>
      <c r="C7" s="34">
        <v>2.51</v>
      </c>
      <c r="D7" s="31">
        <v>2.66</v>
      </c>
      <c r="E7" s="31">
        <f t="shared" si="0"/>
        <v>5320</v>
      </c>
      <c r="F7" s="32">
        <f t="shared" si="1"/>
        <v>0.038692810582252116</v>
      </c>
      <c r="G7" s="31">
        <f t="shared" si="2"/>
        <v>300</v>
      </c>
      <c r="I7" s="33"/>
    </row>
    <row r="8" spans="1:9" s="28" customFormat="1" ht="15" customHeight="1">
      <c r="A8" s="29" t="s">
        <v>340</v>
      </c>
      <c r="B8" s="30">
        <v>500</v>
      </c>
      <c r="C8" s="34">
        <v>25.79</v>
      </c>
      <c r="D8" s="31">
        <v>25.75</v>
      </c>
      <c r="E8" s="31">
        <f t="shared" si="0"/>
        <v>12875</v>
      </c>
      <c r="F8" s="32">
        <f t="shared" si="1"/>
        <v>0.09364096545986766</v>
      </c>
      <c r="G8" s="31">
        <f t="shared" si="2"/>
        <v>-20</v>
      </c>
      <c r="I8" s="33"/>
    </row>
    <row r="9" spans="1:7" s="28" customFormat="1" ht="15" customHeight="1">
      <c r="A9" s="29" t="s">
        <v>341</v>
      </c>
      <c r="B9" s="30">
        <v>500</v>
      </c>
      <c r="C9" s="31">
        <v>17.54</v>
      </c>
      <c r="D9" s="31">
        <v>17.5</v>
      </c>
      <c r="E9" s="35">
        <f t="shared" si="0"/>
        <v>8750</v>
      </c>
      <c r="F9" s="32">
        <f t="shared" si="1"/>
        <v>0.06363949108923046</v>
      </c>
      <c r="G9" s="35">
        <f t="shared" si="2"/>
        <v>-20</v>
      </c>
    </row>
    <row r="10" spans="1:7" s="28" customFormat="1" ht="15" customHeight="1">
      <c r="A10" s="106" t="s">
        <v>35</v>
      </c>
      <c r="B10" s="106"/>
      <c r="C10" s="36"/>
      <c r="D10" s="36"/>
      <c r="E10" s="37">
        <f>SUM($E3:$E9)</f>
        <v>124945</v>
      </c>
      <c r="F10" s="38">
        <f>SUM($F3:$F9)</f>
        <v>0.9087355673307315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19049.11310000001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-6500.870299999999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12548.24280000001</v>
      </c>
      <c r="F17" s="38">
        <f>$E17/$E$19</f>
        <v>0.09126443266926867</v>
      </c>
      <c r="G17" s="52">
        <v>37820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137493.2428</v>
      </c>
      <c r="F19" s="38">
        <f>SUM($F10,$F17)</f>
        <v>1.0000000000000002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</f>
        <v>13486.4201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10.19493993072335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11376.48-1400-500-1021.85-400-400+234-500-360-500-500-500-2500-600-1000+311.615-500+4000-4000+5000-2500</f>
        <v>3740.244999999999</v>
      </c>
      <c r="G23" s="51"/>
    </row>
    <row r="24" spans="1:5" ht="15" customHeight="1">
      <c r="A24" s="113" t="s">
        <v>329</v>
      </c>
      <c r="B24" s="113"/>
      <c r="C24" s="113"/>
      <c r="D24" s="42"/>
      <c r="E24" s="37">
        <v>5439.818100000011</v>
      </c>
    </row>
    <row r="25" spans="1:5" ht="15" customHeight="1">
      <c r="A25" s="114" t="s">
        <v>185</v>
      </c>
      <c r="B25" s="114"/>
      <c r="C25" s="47"/>
      <c r="D25" s="47"/>
      <c r="E25" s="48">
        <f>SUM($E$23:$E$24)</f>
        <v>9180.06310000001</v>
      </c>
    </row>
    <row r="26" spans="1:5" ht="15" customHeight="1">
      <c r="A26" s="110" t="s">
        <v>184</v>
      </c>
      <c r="B26" s="110"/>
      <c r="C26" s="49"/>
      <c r="D26" s="49"/>
      <c r="E26" s="50">
        <f>$E$19+$E$23</f>
        <v>141233.4878</v>
      </c>
    </row>
  </sheetData>
  <mergeCells count="13">
    <mergeCell ref="A26:B26"/>
    <mergeCell ref="A21:B21"/>
    <mergeCell ref="A23:B23"/>
    <mergeCell ref="A24:C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1" sqref="E21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394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5000</v>
      </c>
      <c r="C3" s="34">
        <v>8.98</v>
      </c>
      <c r="D3" s="31">
        <v>9.15</v>
      </c>
      <c r="E3" s="31">
        <f>$B3*$D3</f>
        <v>45750</v>
      </c>
      <c r="F3" s="32">
        <f>$E3/$E$19</f>
        <v>0.3233184771897037</v>
      </c>
      <c r="G3" s="31">
        <f>$E3-($B3*$C3)</f>
        <v>850</v>
      </c>
      <c r="I3" s="33"/>
    </row>
    <row r="4" spans="1:9" s="28" customFormat="1" ht="15" customHeight="1">
      <c r="A4" s="29" t="s">
        <v>324</v>
      </c>
      <c r="B4" s="30">
        <v>1300</v>
      </c>
      <c r="C4" s="34">
        <v>25.5</v>
      </c>
      <c r="D4" s="31">
        <v>27</v>
      </c>
      <c r="E4" s="31">
        <f>$B4*$D4</f>
        <v>35100</v>
      </c>
      <c r="F4" s="32">
        <f>$E4/$E$19</f>
        <v>0.24805417594226448</v>
      </c>
      <c r="G4" s="31">
        <f>$E4-($B4*$C4)</f>
        <v>1950</v>
      </c>
      <c r="I4" s="33"/>
    </row>
    <row r="5" spans="1:9" s="28" customFormat="1" ht="15" customHeight="1">
      <c r="A5" s="29" t="s">
        <v>303</v>
      </c>
      <c r="B5" s="30">
        <v>10500</v>
      </c>
      <c r="C5" s="34">
        <v>2.95</v>
      </c>
      <c r="D5" s="31">
        <v>2.96</v>
      </c>
      <c r="E5" s="31">
        <f>$B5*$D5</f>
        <v>31080</v>
      </c>
      <c r="F5" s="32">
        <f>$E5/$E$19</f>
        <v>0.21964455237280853</v>
      </c>
      <c r="G5" s="31">
        <f>$E5-($B5*$C5)</f>
        <v>104.99999999999636</v>
      </c>
      <c r="I5" s="33"/>
    </row>
    <row r="6" spans="1:9" s="28" customFormat="1" ht="15" customHeight="1">
      <c r="A6" s="29" t="s">
        <v>393</v>
      </c>
      <c r="B6" s="30">
        <v>1500</v>
      </c>
      <c r="C6" s="34">
        <v>19.72</v>
      </c>
      <c r="D6" s="31">
        <v>19.6</v>
      </c>
      <c r="E6" s="31">
        <f>$B6*$D6</f>
        <v>29400.000000000004</v>
      </c>
      <c r="F6" s="32">
        <f>$E6/$E$19</f>
        <v>0.20777187386617027</v>
      </c>
      <c r="G6" s="31">
        <f>$E6-($B6*$C6)</f>
        <v>-179.99999999999636</v>
      </c>
      <c r="I6" s="33"/>
    </row>
    <row r="7" spans="1:7" s="28" customFormat="1" ht="15" customHeight="1">
      <c r="A7" s="29"/>
      <c r="B7" s="30"/>
      <c r="C7" s="31"/>
      <c r="D7" s="31"/>
      <c r="E7" s="35"/>
      <c r="F7" s="32"/>
      <c r="G7" s="35"/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SUM(E3:E9)</f>
        <v>141330</v>
      </c>
      <c r="F10" s="38">
        <f>SUM($F3:$F5)</f>
        <v>0.7910172055047767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9201.244900000016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-9029.898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171.34690000001683</v>
      </c>
      <c r="F17" s="38">
        <f>$E17/$E$19</f>
        <v>0.0012109206290531558</v>
      </c>
      <c r="G17" s="52">
        <v>37847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141501.3469</v>
      </c>
      <c r="F19" s="38">
        <f>SUM($F10,$F17)</f>
        <v>0.7922281261338299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13963-261-3868+3114+1772+191-195-472-486-535+557-437+1068.68-423.868-501.3919-540.37</f>
        <v>12946.050099999999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10.930078734980334</v>
      </c>
      <c r="F21" s="45"/>
      <c r="G21" s="53"/>
      <c r="H21" s="33"/>
    </row>
    <row r="22" ht="15" customHeight="1">
      <c r="G22" s="51"/>
    </row>
    <row r="23" spans="1:6" ht="15" customHeight="1">
      <c r="A23" s="112" t="s">
        <v>327</v>
      </c>
      <c r="B23" s="112"/>
      <c r="C23" s="29"/>
      <c r="D23" s="29"/>
      <c r="E23" s="54">
        <f>5323.605-400-500+22000+9999-400-900</f>
        <v>35122.604999999996</v>
      </c>
      <c r="F23" s="56"/>
    </row>
    <row r="24" spans="1:6" ht="15" customHeight="1">
      <c r="A24" s="113" t="s">
        <v>329</v>
      </c>
      <c r="B24" s="113"/>
      <c r="C24" s="113"/>
      <c r="D24" s="42"/>
      <c r="E24" s="37">
        <v>9.806800000012117</v>
      </c>
      <c r="F24" s="59">
        <v>24657.1206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35132.41180000001</v>
      </c>
    </row>
    <row r="26" spans="1:5" ht="15" customHeight="1">
      <c r="A26" s="110" t="s">
        <v>184</v>
      </c>
      <c r="B26" s="110"/>
      <c r="C26" s="49"/>
      <c r="D26" s="49"/>
      <c r="E26" s="50">
        <f>$E$19+$E$23+F23</f>
        <v>176623.9519</v>
      </c>
    </row>
  </sheetData>
  <mergeCells count="13">
    <mergeCell ref="A26:B26"/>
    <mergeCell ref="A21:B21"/>
    <mergeCell ref="A23:B23"/>
    <mergeCell ref="A24:C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 topLeftCell="A1">
      <pane xSplit="9" ySplit="2" topLeftCell="J186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H199" sqref="H199"/>
    </sheetView>
  </sheetViews>
  <sheetFormatPr defaultColWidth="9.140625" defaultRowHeight="21.75"/>
  <cols>
    <col min="1" max="1" width="6.57421875" style="10" customWidth="1"/>
    <col min="2" max="2" width="7.57421875" style="7" customWidth="1"/>
    <col min="3" max="3" width="8.140625" style="1" customWidth="1"/>
    <col min="4" max="4" width="8.00390625" style="5" customWidth="1"/>
    <col min="5" max="5" width="18.8515625" style="9" customWidth="1"/>
    <col min="6" max="6" width="7.7109375" style="3" customWidth="1"/>
    <col min="7" max="7" width="7.57421875" style="2" customWidth="1"/>
    <col min="8" max="8" width="7.7109375" style="5" customWidth="1"/>
    <col min="9" max="9" width="20.28125" style="9" customWidth="1"/>
    <col min="10" max="16384" width="9.140625" style="1" customWidth="1"/>
  </cols>
  <sheetData>
    <row r="1" spans="1:9" ht="21.75" thickBot="1">
      <c r="A1" s="115" t="s">
        <v>21</v>
      </c>
      <c r="B1" s="116"/>
      <c r="C1" s="116"/>
      <c r="D1" s="116"/>
      <c r="E1" s="116"/>
      <c r="F1" s="116"/>
      <c r="G1" s="116"/>
      <c r="H1" s="116"/>
      <c r="I1" s="117"/>
    </row>
    <row r="2" spans="1:9" s="11" customFormat="1" ht="22.5" customHeight="1" thickBot="1">
      <c r="A2" s="12" t="s">
        <v>0</v>
      </c>
      <c r="B2" s="13" t="s">
        <v>15</v>
      </c>
      <c r="C2" s="14" t="s">
        <v>22</v>
      </c>
      <c r="D2" s="15" t="s">
        <v>23</v>
      </c>
      <c r="E2" s="15" t="s">
        <v>26</v>
      </c>
      <c r="F2" s="57" t="s">
        <v>24</v>
      </c>
      <c r="G2" s="16" t="s">
        <v>22</v>
      </c>
      <c r="H2" s="17" t="s">
        <v>23</v>
      </c>
      <c r="I2" s="17" t="s">
        <v>26</v>
      </c>
    </row>
    <row r="3" spans="1:11" ht="18.75">
      <c r="A3" s="10" t="s">
        <v>28</v>
      </c>
      <c r="B3" s="7">
        <v>10.127806642857143</v>
      </c>
      <c r="C3" s="18">
        <v>0</v>
      </c>
      <c r="D3" s="6">
        <v>0</v>
      </c>
      <c r="E3" s="8">
        <f>(B3-$B$3)/$B$3</f>
        <v>0</v>
      </c>
      <c r="F3" s="3">
        <v>344.28</v>
      </c>
      <c r="G3" s="2">
        <v>0</v>
      </c>
      <c r="H3" s="6">
        <v>0</v>
      </c>
      <c r="I3" s="8">
        <f>(F3-$F$3)/$F$3</f>
        <v>0</v>
      </c>
      <c r="K3" s="55"/>
    </row>
    <row r="4" spans="1:11" ht="18.75">
      <c r="A4" s="10" t="s">
        <v>25</v>
      </c>
      <c r="B4" s="7">
        <v>10.295216678571428</v>
      </c>
      <c r="C4" s="4">
        <f aca="true" t="shared" si="0" ref="C4:C107">$B4-$B3</f>
        <v>0.16741003571428514</v>
      </c>
      <c r="D4" s="5">
        <f aca="true" t="shared" si="1" ref="D4:D71">$C4/$B3</f>
        <v>0.0165297424820363</v>
      </c>
      <c r="E4" s="8">
        <f aca="true" t="shared" si="2" ref="E4:E67">(B4-$B$3)/$B$3</f>
        <v>0.0165297424820363</v>
      </c>
      <c r="F4" s="3">
        <v>346.21</v>
      </c>
      <c r="G4" s="2">
        <f aca="true" t="shared" si="3" ref="G4:G105">$F4-$F3</f>
        <v>1.9300000000000068</v>
      </c>
      <c r="H4" s="5">
        <f aca="true" t="shared" si="4" ref="H4:H105">$G4/$F3</f>
        <v>0.005605902172650189</v>
      </c>
      <c r="I4" s="8">
        <f aca="true" t="shared" si="5" ref="I4:I67">(F4-$F$3)/$F$3</f>
        <v>0.005605902172650189</v>
      </c>
      <c r="K4" s="55"/>
    </row>
    <row r="5" spans="1:11" ht="18.75">
      <c r="A5" s="10" t="s">
        <v>39</v>
      </c>
      <c r="B5" s="7">
        <v>10.529749142857144</v>
      </c>
      <c r="C5" s="4">
        <f t="shared" si="0"/>
        <v>0.2345324642857154</v>
      </c>
      <c r="D5" s="5">
        <f t="shared" si="1"/>
        <v>0.022780721533901635</v>
      </c>
      <c r="E5" s="8">
        <f t="shared" si="2"/>
        <v>0.039687023476448306</v>
      </c>
      <c r="F5" s="3">
        <v>346.59</v>
      </c>
      <c r="G5" s="2">
        <f t="shared" si="3"/>
        <v>0.37999999999999545</v>
      </c>
      <c r="H5" s="5">
        <f t="shared" si="4"/>
        <v>0.0010975997227116359</v>
      </c>
      <c r="I5" s="8">
        <f t="shared" si="5"/>
        <v>0.006709654932032074</v>
      </c>
      <c r="K5" s="55"/>
    </row>
    <row r="6" spans="1:11" s="22" customFormat="1" ht="18.75">
      <c r="A6" s="19" t="s">
        <v>41</v>
      </c>
      <c r="B6" s="20">
        <v>10.640004857142857</v>
      </c>
      <c r="C6" s="4">
        <f t="shared" si="0"/>
        <v>0.11025571428571368</v>
      </c>
      <c r="D6" s="5">
        <f t="shared" si="1"/>
        <v>0.010470877585958983</v>
      </c>
      <c r="E6" s="8">
        <f t="shared" si="2"/>
        <v>0.05057345902698026</v>
      </c>
      <c r="F6" s="21">
        <v>348.46</v>
      </c>
      <c r="G6" s="2">
        <f t="shared" si="3"/>
        <v>1.8700000000000045</v>
      </c>
      <c r="H6" s="5">
        <f t="shared" si="4"/>
        <v>0.005395423987997359</v>
      </c>
      <c r="I6" s="8">
        <f t="shared" si="5"/>
        <v>0.012141280353200903</v>
      </c>
      <c r="K6" s="55"/>
    </row>
    <row r="7" spans="1:11" ht="18.75">
      <c r="A7" s="10" t="s">
        <v>43</v>
      </c>
      <c r="B7" s="7">
        <v>10.759629714285714</v>
      </c>
      <c r="C7" s="4">
        <f t="shared" si="0"/>
        <v>0.1196248571428562</v>
      </c>
      <c r="D7" s="5">
        <f t="shared" si="1"/>
        <v>0.011242932569015656</v>
      </c>
      <c r="E7" s="8">
        <f t="shared" si="2"/>
        <v>0.06238498558561813</v>
      </c>
      <c r="F7" s="3">
        <v>357.42</v>
      </c>
      <c r="G7" s="2">
        <f t="shared" si="3"/>
        <v>8.960000000000036</v>
      </c>
      <c r="H7" s="5">
        <f t="shared" si="4"/>
        <v>0.025713137806348037</v>
      </c>
      <c r="I7" s="8">
        <f t="shared" si="5"/>
        <v>0.038166608574416304</v>
      </c>
      <c r="K7" s="55"/>
    </row>
    <row r="8" spans="1:11" ht="18.75">
      <c r="A8" s="19" t="s">
        <v>45</v>
      </c>
      <c r="B8" s="20">
        <v>10.71989417857143</v>
      </c>
      <c r="C8" s="4">
        <f t="shared" si="0"/>
        <v>-0.0397355357142839</v>
      </c>
      <c r="D8" s="5">
        <f t="shared" si="1"/>
        <v>-0.0036930207422962206</v>
      </c>
      <c r="E8" s="8">
        <f t="shared" si="2"/>
        <v>0.05846157579754637</v>
      </c>
      <c r="F8" s="21">
        <v>353.95</v>
      </c>
      <c r="G8" s="2">
        <f t="shared" si="3"/>
        <v>-3.4700000000000273</v>
      </c>
      <c r="H8" s="5">
        <f t="shared" si="4"/>
        <v>-0.009708466230205437</v>
      </c>
      <c r="I8" s="8">
        <f t="shared" si="5"/>
        <v>0.028087603113744676</v>
      </c>
      <c r="K8" s="55"/>
    </row>
    <row r="9" spans="1:9" ht="18.75">
      <c r="A9" s="19" t="s">
        <v>46</v>
      </c>
      <c r="B9" s="20">
        <v>10.748465607142858</v>
      </c>
      <c r="C9" s="4">
        <f t="shared" si="0"/>
        <v>0.02857142857142847</v>
      </c>
      <c r="D9" s="5">
        <f t="shared" si="1"/>
        <v>0.002665271512524949</v>
      </c>
      <c r="E9" s="8">
        <f t="shared" si="2"/>
        <v>0.06128266328262184</v>
      </c>
      <c r="F9" s="21">
        <v>355</v>
      </c>
      <c r="G9" s="2">
        <f t="shared" si="3"/>
        <v>1.0500000000000114</v>
      </c>
      <c r="H9" s="5">
        <f t="shared" si="4"/>
        <v>0.002966520695013452</v>
      </c>
      <c r="I9" s="8">
        <f t="shared" si="5"/>
        <v>0.031137446264668377</v>
      </c>
    </row>
    <row r="10" spans="1:9" ht="18.75">
      <c r="A10" s="19" t="s">
        <v>47</v>
      </c>
      <c r="B10" s="20">
        <v>10.780608464285715</v>
      </c>
      <c r="C10" s="4">
        <f t="shared" si="0"/>
        <v>0.032142857142856585</v>
      </c>
      <c r="D10" s="5">
        <f t="shared" si="1"/>
        <v>0.0029904600635737395</v>
      </c>
      <c r="E10" s="8">
        <f t="shared" si="2"/>
        <v>0.06445638670333169</v>
      </c>
      <c r="F10" s="21">
        <v>357.22</v>
      </c>
      <c r="G10" s="2">
        <f t="shared" si="3"/>
        <v>2.2200000000000273</v>
      </c>
      <c r="H10" s="5">
        <f t="shared" si="4"/>
        <v>0.00625352112676064</v>
      </c>
      <c r="I10" s="8">
        <f t="shared" si="5"/>
        <v>0.03758568606947849</v>
      </c>
    </row>
    <row r="11" spans="1:9" ht="18.75">
      <c r="A11" s="10" t="s">
        <v>48</v>
      </c>
      <c r="B11" s="7">
        <v>10.987751321428572</v>
      </c>
      <c r="C11" s="4">
        <f t="shared" si="0"/>
        <v>0.2071428571428573</v>
      </c>
      <c r="D11" s="5">
        <f t="shared" si="1"/>
        <v>0.01921439386553047</v>
      </c>
      <c r="E11" s="8">
        <f t="shared" si="2"/>
        <v>0.08490927097012892</v>
      </c>
      <c r="F11" s="3">
        <v>357.68</v>
      </c>
      <c r="G11" s="2">
        <f t="shared" si="3"/>
        <v>0.45999999999997954</v>
      </c>
      <c r="H11" s="5">
        <f t="shared" si="4"/>
        <v>0.0012877218520798933</v>
      </c>
      <c r="I11" s="8">
        <f t="shared" si="5"/>
        <v>0.038921807830835466</v>
      </c>
    </row>
    <row r="12" spans="1:9" ht="18.75">
      <c r="A12" s="19" t="s">
        <v>50</v>
      </c>
      <c r="B12" s="20">
        <v>10.891769357142858</v>
      </c>
      <c r="C12" s="4">
        <f t="shared" si="0"/>
        <v>-0.09598196428571448</v>
      </c>
      <c r="D12" s="5">
        <f t="shared" si="1"/>
        <v>-0.008735360082142393</v>
      </c>
      <c r="E12" s="8">
        <f t="shared" si="2"/>
        <v>0.07543219783175024</v>
      </c>
      <c r="F12" s="21">
        <v>358.8</v>
      </c>
      <c r="G12" s="2">
        <f t="shared" si="3"/>
        <v>1.1200000000000045</v>
      </c>
      <c r="H12" s="5">
        <f t="shared" si="4"/>
        <v>0.0031312905390293126</v>
      </c>
      <c r="I12" s="8">
        <f t="shared" si="5"/>
        <v>0.0421749738584874</v>
      </c>
    </row>
    <row r="13" spans="1:9" s="22" customFormat="1" ht="18.75">
      <c r="A13" s="19" t="s">
        <v>51</v>
      </c>
      <c r="B13" s="20">
        <v>10.556055071428572</v>
      </c>
      <c r="C13" s="4">
        <f t="shared" si="0"/>
        <v>-0.3357142857142854</v>
      </c>
      <c r="D13" s="5">
        <f t="shared" si="1"/>
        <v>-0.030822750161719398</v>
      </c>
      <c r="E13" s="8">
        <f t="shared" si="2"/>
        <v>0.04228441988211342</v>
      </c>
      <c r="F13" s="21">
        <v>355.77</v>
      </c>
      <c r="G13" s="2">
        <f t="shared" si="3"/>
        <v>-3.0300000000000296</v>
      </c>
      <c r="H13" s="5">
        <f t="shared" si="4"/>
        <v>-0.008444816053511788</v>
      </c>
      <c r="I13" s="8">
        <f t="shared" si="5"/>
        <v>0.03337399790867901</v>
      </c>
    </row>
    <row r="14" spans="1:9" s="22" customFormat="1" ht="18.75">
      <c r="A14" s="19" t="s">
        <v>52</v>
      </c>
      <c r="B14" s="20">
        <v>10.524199433962265</v>
      </c>
      <c r="C14" s="4">
        <f t="shared" si="0"/>
        <v>-0.031855637466307485</v>
      </c>
      <c r="D14" s="5">
        <f t="shared" si="1"/>
        <v>-0.003017759688705034</v>
      </c>
      <c r="E14" s="8">
        <f t="shared" si="2"/>
        <v>0.03913905597562787</v>
      </c>
      <c r="F14" s="21">
        <v>353.8</v>
      </c>
      <c r="G14" s="2">
        <f t="shared" si="3"/>
        <v>-1.9699999999999704</v>
      </c>
      <c r="H14" s="5">
        <f t="shared" si="4"/>
        <v>-0.005537285324788404</v>
      </c>
      <c r="I14" s="8">
        <f t="shared" si="5"/>
        <v>0.02765191123504136</v>
      </c>
    </row>
    <row r="15" spans="1:9" s="22" customFormat="1" ht="18.75">
      <c r="A15" s="19" t="s">
        <v>53</v>
      </c>
      <c r="B15" s="20">
        <v>10.646840943396226</v>
      </c>
      <c r="C15" s="4">
        <f t="shared" si="0"/>
        <v>0.12264150943396146</v>
      </c>
      <c r="D15" s="5">
        <f t="shared" si="1"/>
        <v>0.011653286333418337</v>
      </c>
      <c r="E15" s="8">
        <f t="shared" si="2"/>
        <v>0.05124844093514989</v>
      </c>
      <c r="F15" s="21">
        <v>357.46</v>
      </c>
      <c r="G15" s="2">
        <f t="shared" si="3"/>
        <v>3.659999999999968</v>
      </c>
      <c r="H15" s="5">
        <f t="shared" si="4"/>
        <v>0.010344827586206806</v>
      </c>
      <c r="I15" s="8">
        <f t="shared" si="5"/>
        <v>0.03828279307540376</v>
      </c>
    </row>
    <row r="16" spans="1:9" s="22" customFormat="1" ht="18.75">
      <c r="A16" s="19" t="s">
        <v>55</v>
      </c>
      <c r="B16" s="20">
        <v>10.616537012578616</v>
      </c>
      <c r="C16" s="4">
        <f t="shared" si="0"/>
        <v>-0.030303930817609626</v>
      </c>
      <c r="D16" s="5">
        <f t="shared" si="1"/>
        <v>-0.0028462837924150487</v>
      </c>
      <c r="E16" s="8">
        <f t="shared" si="2"/>
        <v>0.04825628953591458</v>
      </c>
      <c r="F16" s="21">
        <v>355</v>
      </c>
      <c r="G16" s="2">
        <f t="shared" si="3"/>
        <v>-2.4599999999999795</v>
      </c>
      <c r="H16" s="5">
        <f t="shared" si="4"/>
        <v>-0.00688188888267213</v>
      </c>
      <c r="I16" s="8">
        <f t="shared" si="5"/>
        <v>0.031137446264668377</v>
      </c>
    </row>
    <row r="17" spans="1:9" ht="18.75">
      <c r="A17" s="10" t="s">
        <v>57</v>
      </c>
      <c r="B17" s="7">
        <v>10.659580628930817</v>
      </c>
      <c r="C17" s="4">
        <f t="shared" si="0"/>
        <v>0.04304361635220033</v>
      </c>
      <c r="D17" s="5">
        <f t="shared" si="1"/>
        <v>0.004054393282969924</v>
      </c>
      <c r="E17" s="8">
        <f t="shared" si="2"/>
        <v>0.05250633279503997</v>
      </c>
      <c r="F17" s="3">
        <v>350.36</v>
      </c>
      <c r="G17" s="2">
        <f t="shared" si="3"/>
        <v>-4.639999999999986</v>
      </c>
      <c r="H17" s="5">
        <f t="shared" si="4"/>
        <v>-0.01307042253521123</v>
      </c>
      <c r="I17" s="8">
        <f t="shared" si="5"/>
        <v>0.017660044150110497</v>
      </c>
    </row>
    <row r="18" spans="1:9" ht="18.75">
      <c r="A18" s="10" t="s">
        <v>59</v>
      </c>
      <c r="B18" s="7">
        <v>10.467873081761006</v>
      </c>
      <c r="C18" s="4">
        <f t="shared" si="0"/>
        <v>-0.19170754716981087</v>
      </c>
      <c r="D18" s="5">
        <f t="shared" si="1"/>
        <v>-0.017984529958852576</v>
      </c>
      <c r="E18" s="8">
        <f t="shared" si="2"/>
        <v>0.033577501121005514</v>
      </c>
      <c r="F18" s="3">
        <v>345.07</v>
      </c>
      <c r="G18" s="2">
        <f t="shared" si="3"/>
        <v>-5.2900000000000205</v>
      </c>
      <c r="H18" s="5">
        <f t="shared" si="4"/>
        <v>-0.015098755565703906</v>
      </c>
      <c r="I18" s="8">
        <f t="shared" si="5"/>
        <v>0.002294643894504533</v>
      </c>
    </row>
    <row r="19" spans="1:9" s="22" customFormat="1" ht="18.75">
      <c r="A19" s="19" t="s">
        <v>60</v>
      </c>
      <c r="B19" s="20">
        <v>10.455294465408805</v>
      </c>
      <c r="C19" s="23">
        <f t="shared" si="0"/>
        <v>-0.012578616352200811</v>
      </c>
      <c r="D19" s="24">
        <f t="shared" si="1"/>
        <v>-0.0012016401282240914</v>
      </c>
      <c r="E19" s="8">
        <f t="shared" si="2"/>
        <v>0.03233551292002893</v>
      </c>
      <c r="F19" s="21">
        <v>343.67</v>
      </c>
      <c r="G19" s="25">
        <f t="shared" si="3"/>
        <v>-1.3999999999999773</v>
      </c>
      <c r="H19" s="24">
        <f t="shared" si="4"/>
        <v>-0.004057147825078903</v>
      </c>
      <c r="I19" s="8">
        <f t="shared" si="5"/>
        <v>-0.0017718136400602907</v>
      </c>
    </row>
    <row r="20" spans="1:9" ht="18.75">
      <c r="A20" s="10" t="s">
        <v>61</v>
      </c>
      <c r="B20" s="7">
        <v>10.417558616352201</v>
      </c>
      <c r="C20" s="23">
        <f t="shared" si="0"/>
        <v>-0.03773584905660421</v>
      </c>
      <c r="D20" s="24">
        <f t="shared" si="1"/>
        <v>-0.0036092574132132516</v>
      </c>
      <c r="E20" s="8">
        <f t="shared" si="2"/>
        <v>0.028609548317099012</v>
      </c>
      <c r="F20" s="3">
        <v>348.95</v>
      </c>
      <c r="G20" s="25">
        <f t="shared" si="3"/>
        <v>5.279999999999973</v>
      </c>
      <c r="H20" s="24">
        <f t="shared" si="4"/>
        <v>0.015363575523030734</v>
      </c>
      <c r="I20" s="8">
        <f t="shared" si="5"/>
        <v>0.013564540490298642</v>
      </c>
    </row>
    <row r="21" spans="1:9" s="22" customFormat="1" ht="18.75">
      <c r="A21" s="19" t="s">
        <v>63</v>
      </c>
      <c r="B21" s="20">
        <v>10.114812389937107</v>
      </c>
      <c r="C21" s="23">
        <f t="shared" si="0"/>
        <v>-0.30274622641509374</v>
      </c>
      <c r="D21" s="24">
        <f t="shared" si="1"/>
        <v>-0.02906114931188196</v>
      </c>
      <c r="E21" s="8">
        <f t="shared" si="2"/>
        <v>-0.001283027350171664</v>
      </c>
      <c r="F21" s="21">
        <v>356.24</v>
      </c>
      <c r="G21" s="25">
        <f t="shared" si="3"/>
        <v>7.2900000000000205</v>
      </c>
      <c r="H21" s="24">
        <f t="shared" si="4"/>
        <v>0.02089124516406368</v>
      </c>
      <c r="I21" s="8">
        <f t="shared" si="5"/>
        <v>0.034739165795283015</v>
      </c>
    </row>
    <row r="22" spans="1:9" ht="18.75">
      <c r="A22" s="10" t="s">
        <v>65</v>
      </c>
      <c r="B22" s="7">
        <v>10.156026540880502</v>
      </c>
      <c r="C22" s="23">
        <f t="shared" si="0"/>
        <v>0.041214150943394756</v>
      </c>
      <c r="D22" s="24">
        <f t="shared" si="1"/>
        <v>0.004074633256114305</v>
      </c>
      <c r="E22" s="8">
        <f t="shared" si="2"/>
        <v>0.002786378040033128</v>
      </c>
      <c r="F22" s="3">
        <v>357.1</v>
      </c>
      <c r="G22" s="25">
        <f t="shared" si="3"/>
        <v>0.8600000000000136</v>
      </c>
      <c r="H22" s="24">
        <f t="shared" si="4"/>
        <v>0.002414102852009919</v>
      </c>
      <c r="I22" s="8">
        <f t="shared" si="5"/>
        <v>0.03723713256651578</v>
      </c>
    </row>
    <row r="23" spans="1:9" ht="18.75">
      <c r="A23" s="10" t="s">
        <v>66</v>
      </c>
      <c r="B23" s="7">
        <v>9.992971792452831</v>
      </c>
      <c r="C23" s="23">
        <f t="shared" si="0"/>
        <v>-0.16305474842767076</v>
      </c>
      <c r="D23" s="24">
        <f t="shared" si="1"/>
        <v>-0.01605497462726543</v>
      </c>
      <c r="E23" s="8">
        <f t="shared" si="2"/>
        <v>-0.013313331815967003</v>
      </c>
      <c r="F23" s="3">
        <v>353.62</v>
      </c>
      <c r="G23" s="25">
        <f t="shared" si="3"/>
        <v>-3.480000000000018</v>
      </c>
      <c r="H23" s="24">
        <f t="shared" si="4"/>
        <v>-0.00974516942033049</v>
      </c>
      <c r="I23" s="8">
        <f t="shared" si="5"/>
        <v>0.027129080980597284</v>
      </c>
    </row>
    <row r="24" spans="1:9" ht="18.75">
      <c r="A24" s="10" t="s">
        <v>70</v>
      </c>
      <c r="B24" s="7">
        <v>10.082594433962266</v>
      </c>
      <c r="C24" s="23">
        <f t="shared" si="0"/>
        <v>0.08962264150943433</v>
      </c>
      <c r="D24" s="24">
        <f t="shared" si="1"/>
        <v>0.00896856744628476</v>
      </c>
      <c r="E24" s="8">
        <f t="shared" si="2"/>
        <v>-0.004464165884008513</v>
      </c>
      <c r="F24" s="3">
        <v>352.18</v>
      </c>
      <c r="G24" s="25">
        <f t="shared" si="3"/>
        <v>-1.4399999999999977</v>
      </c>
      <c r="H24" s="24">
        <f t="shared" si="4"/>
        <v>-0.004072167863808602</v>
      </c>
      <c r="I24" s="8">
        <f t="shared" si="5"/>
        <v>0.022946438945044834</v>
      </c>
    </row>
    <row r="25" spans="1:9" ht="18.75">
      <c r="A25" s="10" t="s">
        <v>71</v>
      </c>
      <c r="B25" s="7">
        <v>10.130088475986048</v>
      </c>
      <c r="C25" s="23">
        <f t="shared" si="0"/>
        <v>0.04749404202378216</v>
      </c>
      <c r="D25" s="24">
        <f t="shared" si="1"/>
        <v>0.004710498109871698</v>
      </c>
      <c r="E25" s="8">
        <f t="shared" si="2"/>
        <v>0.00022530378090440952</v>
      </c>
      <c r="F25" s="3">
        <v>358.44</v>
      </c>
      <c r="G25" s="25">
        <f t="shared" si="3"/>
        <v>6.259999999999991</v>
      </c>
      <c r="H25" s="24">
        <f t="shared" si="4"/>
        <v>0.01777500141972852</v>
      </c>
      <c r="I25" s="8">
        <f t="shared" si="5"/>
        <v>0.04112931334959924</v>
      </c>
    </row>
    <row r="26" spans="1:9" ht="18.75">
      <c r="A26" s="10" t="s">
        <v>72</v>
      </c>
      <c r="B26" s="7">
        <v>10.219440166353635</v>
      </c>
      <c r="C26" s="23">
        <f t="shared" si="0"/>
        <v>0.08935169036758772</v>
      </c>
      <c r="D26" s="24">
        <f t="shared" si="1"/>
        <v>0.008820425466115226</v>
      </c>
      <c r="E26" s="8">
        <f t="shared" si="2"/>
        <v>0.009047716522226338</v>
      </c>
      <c r="F26" s="3">
        <v>362.59</v>
      </c>
      <c r="G26" s="25">
        <f t="shared" si="3"/>
        <v>4.149999999999977</v>
      </c>
      <c r="H26" s="24">
        <f t="shared" si="4"/>
        <v>0.01157794888963279</v>
      </c>
      <c r="I26" s="8">
        <f t="shared" si="5"/>
        <v>0.053183455327059384</v>
      </c>
    </row>
    <row r="27" spans="1:9" ht="18.75">
      <c r="A27" s="10" t="s">
        <v>73</v>
      </c>
      <c r="B27" s="7">
        <v>10.219440166353635</v>
      </c>
      <c r="C27" s="23">
        <f t="shared" si="0"/>
        <v>0</v>
      </c>
      <c r="D27" s="24">
        <f t="shared" si="1"/>
        <v>0</v>
      </c>
      <c r="E27" s="8">
        <f t="shared" si="2"/>
        <v>0.009047716522226338</v>
      </c>
      <c r="F27" s="3">
        <v>364.53</v>
      </c>
      <c r="G27" s="25">
        <f t="shared" si="3"/>
        <v>1.9399999999999977</v>
      </c>
      <c r="H27" s="24">
        <f t="shared" si="4"/>
        <v>0.005350395763810359</v>
      </c>
      <c r="I27" s="8">
        <f t="shared" si="5"/>
        <v>0.05881840362495643</v>
      </c>
    </row>
    <row r="28" spans="1:9" ht="18.75">
      <c r="A28" s="10" t="s">
        <v>75</v>
      </c>
      <c r="B28" s="7">
        <v>10.192638683928092</v>
      </c>
      <c r="C28" s="23">
        <f t="shared" si="0"/>
        <v>-0.02680148242554381</v>
      </c>
      <c r="D28" s="24">
        <f t="shared" si="1"/>
        <v>-0.002622597910381108</v>
      </c>
      <c r="E28" s="8">
        <f t="shared" si="2"/>
        <v>0.006401390089400318</v>
      </c>
      <c r="F28" s="3">
        <v>361.21</v>
      </c>
      <c r="G28" s="25">
        <f t="shared" si="3"/>
        <v>-3.319999999999993</v>
      </c>
      <c r="H28" s="24">
        <f t="shared" si="4"/>
        <v>-0.009107618028694465</v>
      </c>
      <c r="I28" s="8">
        <f t="shared" si="5"/>
        <v>0.04917509004298829</v>
      </c>
    </row>
    <row r="29" spans="1:9" ht="18.75">
      <c r="A29" s="10" t="s">
        <v>76</v>
      </c>
      <c r="B29" s="7">
        <v>10.162453548430372</v>
      </c>
      <c r="C29" s="23">
        <f t="shared" si="0"/>
        <v>-0.030185135497719173</v>
      </c>
      <c r="D29" s="24">
        <f t="shared" si="1"/>
        <v>-0.0029614642914121496</v>
      </c>
      <c r="E29" s="8">
        <f t="shared" si="2"/>
        <v>0.003420968309823009</v>
      </c>
      <c r="F29" s="3">
        <v>361.35</v>
      </c>
      <c r="G29" s="25">
        <f t="shared" si="3"/>
        <v>0.1400000000000432</v>
      </c>
      <c r="H29" s="24">
        <f t="shared" si="4"/>
        <v>0.00038758616871084194</v>
      </c>
      <c r="I29" s="8">
        <f t="shared" si="5"/>
        <v>0.049581735796444905</v>
      </c>
    </row>
    <row r="30" spans="1:9" ht="18.75">
      <c r="A30" s="10" t="s">
        <v>78</v>
      </c>
      <c r="B30" s="7">
        <v>10.132268412932653</v>
      </c>
      <c r="C30" s="23">
        <f t="shared" si="0"/>
        <v>-0.030185135497719173</v>
      </c>
      <c r="D30" s="24">
        <f t="shared" si="1"/>
        <v>-0.0029702606121512235</v>
      </c>
      <c r="E30" s="8">
        <f t="shared" si="2"/>
        <v>0.00044054653024570086</v>
      </c>
      <c r="F30" s="3">
        <v>364.29</v>
      </c>
      <c r="G30" s="25">
        <f t="shared" si="3"/>
        <v>2.9399999999999977</v>
      </c>
      <c r="H30" s="24">
        <f t="shared" si="4"/>
        <v>0.008136156081361553</v>
      </c>
      <c r="I30" s="8">
        <f t="shared" si="5"/>
        <v>0.05812129661903116</v>
      </c>
    </row>
    <row r="31" spans="1:9" ht="18.75">
      <c r="A31" s="10" t="s">
        <v>79</v>
      </c>
      <c r="B31" s="7">
        <v>10.270685919931246</v>
      </c>
      <c r="C31" s="23">
        <f t="shared" si="0"/>
        <v>0.1384175069985929</v>
      </c>
      <c r="D31" s="24">
        <f t="shared" si="1"/>
        <v>0.013661058053092945</v>
      </c>
      <c r="E31" s="8">
        <f t="shared" si="2"/>
        <v>0.014107622915063421</v>
      </c>
      <c r="F31" s="3">
        <v>364.9</v>
      </c>
      <c r="G31" s="25">
        <f t="shared" si="3"/>
        <v>0.6099999999999568</v>
      </c>
      <c r="H31" s="24">
        <f t="shared" si="4"/>
        <v>0.001674490104037873</v>
      </c>
      <c r="I31" s="8">
        <f t="shared" si="5"/>
        <v>0.059893110259091456</v>
      </c>
    </row>
    <row r="32" spans="1:9" ht="18.75">
      <c r="A32" s="10" t="s">
        <v>80</v>
      </c>
      <c r="B32" s="7">
        <v>10.270685919931246</v>
      </c>
      <c r="C32" s="23">
        <f t="shared" si="0"/>
        <v>0</v>
      </c>
      <c r="D32" s="24">
        <f t="shared" si="1"/>
        <v>0</v>
      </c>
      <c r="E32" s="8">
        <f t="shared" si="2"/>
        <v>0.014107622915063421</v>
      </c>
      <c r="F32" s="3">
        <v>366.67</v>
      </c>
      <c r="G32" s="25">
        <f t="shared" si="3"/>
        <v>1.7700000000000387</v>
      </c>
      <c r="H32" s="24">
        <f t="shared" si="4"/>
        <v>0.004850644012058205</v>
      </c>
      <c r="I32" s="8">
        <f t="shared" si="5"/>
        <v>0.06503427442779146</v>
      </c>
    </row>
    <row r="33" spans="1:9" ht="18.75">
      <c r="A33" s="10" t="s">
        <v>81</v>
      </c>
      <c r="B33" s="7">
        <v>10.14177379502972</v>
      </c>
      <c r="C33" s="23">
        <f t="shared" si="0"/>
        <v>-0.12891212490152526</v>
      </c>
      <c r="D33" s="24">
        <f t="shared" si="1"/>
        <v>-0.012551462084081354</v>
      </c>
      <c r="E33" s="8">
        <f t="shared" si="2"/>
        <v>0.0013790895368671313</v>
      </c>
      <c r="F33" s="3">
        <v>364.19</v>
      </c>
      <c r="G33" s="25">
        <f t="shared" si="3"/>
        <v>-2.480000000000018</v>
      </c>
      <c r="H33" s="24">
        <f t="shared" si="4"/>
        <v>-0.006763574876592081</v>
      </c>
      <c r="I33" s="8">
        <f t="shared" si="5"/>
        <v>0.05783083536656218</v>
      </c>
    </row>
    <row r="34" spans="1:9" ht="18.75">
      <c r="A34" s="10" t="s">
        <v>82</v>
      </c>
      <c r="B34" s="7">
        <v>10.10954576380434</v>
      </c>
      <c r="C34" s="23">
        <f t="shared" si="0"/>
        <v>-0.032228031225381315</v>
      </c>
      <c r="D34" s="24">
        <f t="shared" si="1"/>
        <v>-0.003177750941474915</v>
      </c>
      <c r="E34" s="8">
        <f t="shared" si="2"/>
        <v>-0.0018030438076819413</v>
      </c>
      <c r="F34" s="3">
        <v>364.94</v>
      </c>
      <c r="G34" s="25">
        <f t="shared" si="3"/>
        <v>0.75</v>
      </c>
      <c r="H34" s="24">
        <f t="shared" si="4"/>
        <v>0.002059364617370054</v>
      </c>
      <c r="I34" s="8">
        <f t="shared" si="5"/>
        <v>0.06000929476007908</v>
      </c>
    </row>
    <row r="35" spans="1:9" ht="18.75">
      <c r="A35" s="10" t="s">
        <v>83</v>
      </c>
      <c r="B35" s="7">
        <v>10.088060409654085</v>
      </c>
      <c r="C35" s="23">
        <f t="shared" si="0"/>
        <v>-0.02148535415025421</v>
      </c>
      <c r="D35" s="24">
        <f t="shared" si="1"/>
        <v>-0.0021252541560451894</v>
      </c>
      <c r="E35" s="8">
        <f t="shared" si="2"/>
        <v>-0.003924466037381323</v>
      </c>
      <c r="F35" s="3">
        <v>365.09</v>
      </c>
      <c r="G35" s="25">
        <f t="shared" si="3"/>
        <v>0.14999999999997726</v>
      </c>
      <c r="H35" s="24">
        <f t="shared" si="4"/>
        <v>0.00041102647010461246</v>
      </c>
      <c r="I35" s="8">
        <f t="shared" si="5"/>
        <v>0.0604449866387824</v>
      </c>
    </row>
    <row r="36" spans="1:9" ht="18.75">
      <c r="A36" s="10" t="s">
        <v>84</v>
      </c>
      <c r="B36" s="7">
        <v>10.055832378428704</v>
      </c>
      <c r="C36" s="23">
        <f t="shared" si="0"/>
        <v>-0.032228031225381315</v>
      </c>
      <c r="D36" s="24">
        <f t="shared" si="1"/>
        <v>-0.003194670721295413</v>
      </c>
      <c r="E36" s="8">
        <f t="shared" si="2"/>
        <v>-0.007106599381930395</v>
      </c>
      <c r="F36" s="3">
        <v>365.35</v>
      </c>
      <c r="G36" s="25">
        <f t="shared" si="3"/>
        <v>0.26000000000004775</v>
      </c>
      <c r="H36" s="24">
        <f t="shared" si="4"/>
        <v>0.0007121531677122019</v>
      </c>
      <c r="I36" s="8">
        <f t="shared" si="5"/>
        <v>0.06120018589520173</v>
      </c>
    </row>
    <row r="37" spans="1:9" ht="18.75">
      <c r="A37" s="10" t="s">
        <v>86</v>
      </c>
      <c r="B37" s="7">
        <v>10.145985282532406</v>
      </c>
      <c r="C37" s="23">
        <f t="shared" si="0"/>
        <v>0.09015290410370191</v>
      </c>
      <c r="D37" s="24">
        <f t="shared" si="1"/>
        <v>0.008965235368987818</v>
      </c>
      <c r="E37" s="8">
        <f t="shared" si="2"/>
        <v>0.0017949236509253136</v>
      </c>
      <c r="F37" s="3">
        <v>365.46</v>
      </c>
      <c r="G37" s="25">
        <f t="shared" si="3"/>
        <v>0.1099999999999568</v>
      </c>
      <c r="H37" s="24">
        <f t="shared" si="4"/>
        <v>0.00030108115505667656</v>
      </c>
      <c r="I37" s="8">
        <f t="shared" si="5"/>
        <v>0.06151969327291742</v>
      </c>
    </row>
    <row r="38" spans="1:9" ht="18.75">
      <c r="A38" s="10" t="s">
        <v>87</v>
      </c>
      <c r="B38" s="7">
        <v>10.221184022058296</v>
      </c>
      <c r="C38" s="23">
        <f t="shared" si="0"/>
        <v>0.07519873952588974</v>
      </c>
      <c r="D38" s="24">
        <f t="shared" si="1"/>
        <v>0.007411674414248743</v>
      </c>
      <c r="E38" s="8">
        <f t="shared" si="2"/>
        <v>0.009219901454873149</v>
      </c>
      <c r="F38" s="3">
        <v>361.46</v>
      </c>
      <c r="G38" s="25">
        <f t="shared" si="3"/>
        <v>-4</v>
      </c>
      <c r="H38" s="24">
        <f t="shared" si="4"/>
        <v>-0.01094511027198599</v>
      </c>
      <c r="I38" s="8">
        <f t="shared" si="5"/>
        <v>0.049901243174160594</v>
      </c>
    </row>
    <row r="39" spans="1:9" ht="18.75">
      <c r="A39" s="10" t="s">
        <v>88</v>
      </c>
      <c r="B39" s="7">
        <v>10.163889744324285</v>
      </c>
      <c r="C39" s="23">
        <f t="shared" si="0"/>
        <v>-0.057294277734010635</v>
      </c>
      <c r="D39" s="24">
        <f t="shared" si="1"/>
        <v>-0.00560544430179166</v>
      </c>
      <c r="E39" s="8">
        <f t="shared" si="2"/>
        <v>0.00356277550900819</v>
      </c>
      <c r="F39" s="3">
        <v>356.2</v>
      </c>
      <c r="G39" s="25">
        <f t="shared" si="3"/>
        <v>-5.259999999999991</v>
      </c>
      <c r="H39" s="24">
        <f t="shared" si="4"/>
        <v>-0.01455209428429146</v>
      </c>
      <c r="I39" s="8">
        <f t="shared" si="5"/>
        <v>0.03462298129429539</v>
      </c>
    </row>
    <row r="40" spans="1:9" ht="18.75">
      <c r="A40" s="10" t="s">
        <v>89</v>
      </c>
      <c r="B40" s="7">
        <v>10.104805020411085</v>
      </c>
      <c r="C40" s="23">
        <f t="shared" si="0"/>
        <v>-0.059084723913199966</v>
      </c>
      <c r="D40" s="24">
        <f t="shared" si="1"/>
        <v>-0.00581320000506637</v>
      </c>
      <c r="E40" s="8">
        <f t="shared" si="2"/>
        <v>-0.0022711356226651973</v>
      </c>
      <c r="F40" s="3">
        <v>353.93</v>
      </c>
      <c r="G40" s="25">
        <f t="shared" si="3"/>
        <v>-2.269999999999982</v>
      </c>
      <c r="H40" s="24">
        <f t="shared" si="4"/>
        <v>-0.006372824256035884</v>
      </c>
      <c r="I40" s="8">
        <f t="shared" si="5"/>
        <v>0.028029510863250943</v>
      </c>
    </row>
    <row r="41" spans="1:9" ht="18.75">
      <c r="A41" s="10" t="s">
        <v>90</v>
      </c>
      <c r="B41" s="7">
        <v>10.137721585619136</v>
      </c>
      <c r="C41" s="23">
        <f t="shared" si="0"/>
        <v>0.032916565208051196</v>
      </c>
      <c r="D41" s="24">
        <f t="shared" si="1"/>
        <v>0.0032575161164972266</v>
      </c>
      <c r="E41" s="8">
        <f t="shared" si="2"/>
        <v>0.0009789822329384465</v>
      </c>
      <c r="F41" s="3">
        <v>352.83</v>
      </c>
      <c r="G41" s="25">
        <f t="shared" si="3"/>
        <v>-1.1000000000000227</v>
      </c>
      <c r="H41" s="24">
        <f t="shared" si="4"/>
        <v>-0.0031079592009720077</v>
      </c>
      <c r="I41" s="8">
        <f t="shared" si="5"/>
        <v>0.024834437086092752</v>
      </c>
    </row>
    <row r="42" spans="1:9" ht="18.75">
      <c r="A42" s="10" t="s">
        <v>95</v>
      </c>
      <c r="B42" s="7">
        <v>10.154002843228533</v>
      </c>
      <c r="C42" s="23">
        <f t="shared" si="0"/>
        <v>0.01628125760939625</v>
      </c>
      <c r="D42" s="24">
        <f t="shared" si="1"/>
        <v>0.00160600757003349</v>
      </c>
      <c r="E42" s="8">
        <f t="shared" si="2"/>
        <v>0.002586562055848964</v>
      </c>
      <c r="F42" s="3">
        <v>350.62</v>
      </c>
      <c r="G42" s="25">
        <f t="shared" si="3"/>
        <v>-2.2099999999999795</v>
      </c>
      <c r="H42" s="24">
        <f t="shared" si="4"/>
        <v>-0.00626363971317626</v>
      </c>
      <c r="I42" s="8">
        <f t="shared" si="5"/>
        <v>0.018415243406529662</v>
      </c>
    </row>
    <row r="43" spans="1:9" ht="18.75">
      <c r="A43" s="10" t="s">
        <v>97</v>
      </c>
      <c r="B43" s="7">
        <v>10.1590365036167</v>
      </c>
      <c r="C43" s="23">
        <f t="shared" si="0"/>
        <v>0.005033660388168215</v>
      </c>
      <c r="D43" s="24">
        <f t="shared" si="1"/>
        <v>0.0004957316307553574</v>
      </c>
      <c r="E43" s="8">
        <f t="shared" si="2"/>
        <v>0.003083575927230317</v>
      </c>
      <c r="F43" s="3">
        <v>350.25</v>
      </c>
      <c r="G43" s="25">
        <f t="shared" si="3"/>
        <v>-0.37000000000000455</v>
      </c>
      <c r="H43" s="24">
        <f t="shared" si="4"/>
        <v>-0.0010552735154868648</v>
      </c>
      <c r="I43" s="8">
        <f t="shared" si="5"/>
        <v>0.017340536772394645</v>
      </c>
    </row>
    <row r="44" spans="1:9" ht="18.75">
      <c r="A44" s="10" t="s">
        <v>99</v>
      </c>
      <c r="B44" s="7">
        <v>10.13509895437943</v>
      </c>
      <c r="C44" s="23">
        <f t="shared" si="0"/>
        <v>-0.023937549237270872</v>
      </c>
      <c r="D44" s="24">
        <f t="shared" si="1"/>
        <v>-0.0023562814474334163</v>
      </c>
      <c r="E44" s="8">
        <f t="shared" si="2"/>
        <v>0.0007200287070478159</v>
      </c>
      <c r="F44" s="3">
        <v>350.01</v>
      </c>
      <c r="G44" s="25">
        <f t="shared" si="3"/>
        <v>-0.2400000000000091</v>
      </c>
      <c r="H44" s="24">
        <f t="shared" si="4"/>
        <v>-0.0006852248394004542</v>
      </c>
      <c r="I44" s="8">
        <f t="shared" si="5"/>
        <v>0.01664342976646921</v>
      </c>
    </row>
    <row r="45" spans="1:9" ht="18.75">
      <c r="A45" s="10" t="s">
        <v>101</v>
      </c>
      <c r="B45" s="7">
        <v>10.135046540650999</v>
      </c>
      <c r="C45" s="23">
        <f t="shared" si="0"/>
        <v>-5.241372843123315E-05</v>
      </c>
      <c r="D45" s="24">
        <f t="shared" si="1"/>
        <v>-5.171506333303722E-06</v>
      </c>
      <c r="E45" s="8">
        <f t="shared" si="2"/>
        <v>0.0007148534770814936</v>
      </c>
      <c r="F45" s="3">
        <v>350.55</v>
      </c>
      <c r="G45" s="25">
        <f t="shared" si="3"/>
        <v>0.5400000000000205</v>
      </c>
      <c r="H45" s="24">
        <f t="shared" si="4"/>
        <v>0.0015428130624839875</v>
      </c>
      <c r="I45" s="8">
        <f t="shared" si="5"/>
        <v>0.01821192052980144</v>
      </c>
    </row>
    <row r="46" spans="1:9" ht="18.75">
      <c r="A46" s="10" t="s">
        <v>105</v>
      </c>
      <c r="B46" s="7">
        <v>10.149207130345934</v>
      </c>
      <c r="C46" s="23">
        <f t="shared" si="0"/>
        <v>0.014160589694935055</v>
      </c>
      <c r="D46" s="24">
        <f t="shared" si="1"/>
        <v>0.001397190396525351</v>
      </c>
      <c r="E46" s="8">
        <f t="shared" si="2"/>
        <v>0.0021130426600199453</v>
      </c>
      <c r="F46" s="3">
        <v>350.93</v>
      </c>
      <c r="G46" s="25">
        <f t="shared" si="3"/>
        <v>0.37999999999999545</v>
      </c>
      <c r="H46" s="24">
        <f t="shared" si="4"/>
        <v>0.001084010840108388</v>
      </c>
      <c r="I46" s="8">
        <f t="shared" si="5"/>
        <v>0.019315673289183325</v>
      </c>
    </row>
    <row r="47" spans="1:9" ht="18.75">
      <c r="A47" s="10" t="s">
        <v>107</v>
      </c>
      <c r="B47" s="7">
        <v>10.42411838417749</v>
      </c>
      <c r="C47" s="23">
        <f t="shared" si="0"/>
        <v>0.2749112538315561</v>
      </c>
      <c r="D47" s="24">
        <f t="shared" si="1"/>
        <v>0.02708696849920195</v>
      </c>
      <c r="E47" s="8">
        <f t="shared" si="2"/>
        <v>0.029257247079191327</v>
      </c>
      <c r="F47" s="3">
        <v>353.41</v>
      </c>
      <c r="G47" s="25">
        <f t="shared" si="3"/>
        <v>2.480000000000018</v>
      </c>
      <c r="H47" s="24">
        <f t="shared" si="4"/>
        <v>0.0070669364260679286</v>
      </c>
      <c r="I47" s="8">
        <f t="shared" si="5"/>
        <v>0.02651911235041261</v>
      </c>
    </row>
    <row r="48" spans="1:9" ht="18.75">
      <c r="A48" s="10" t="s">
        <v>109</v>
      </c>
      <c r="B48" s="7">
        <v>10.70300762662385</v>
      </c>
      <c r="C48" s="23">
        <f t="shared" si="0"/>
        <v>0.2788892424463594</v>
      </c>
      <c r="D48" s="24">
        <f t="shared" si="1"/>
        <v>0.026754228239548625</v>
      </c>
      <c r="E48" s="8">
        <f t="shared" si="2"/>
        <v>0.056794230384757505</v>
      </c>
      <c r="F48" s="3">
        <v>355.36</v>
      </c>
      <c r="G48" s="25">
        <f t="shared" si="3"/>
        <v>1.9499999999999886</v>
      </c>
      <c r="H48" s="24">
        <f t="shared" si="4"/>
        <v>0.005517670694094645</v>
      </c>
      <c r="I48" s="8">
        <f t="shared" si="5"/>
        <v>0.03218310677355653</v>
      </c>
    </row>
    <row r="49" spans="1:9" ht="18.75">
      <c r="A49" s="10" t="s">
        <v>111</v>
      </c>
      <c r="B49" s="7">
        <v>10.706784943803823</v>
      </c>
      <c r="C49" s="23">
        <f t="shared" si="0"/>
        <v>0.0037773171799742045</v>
      </c>
      <c r="D49" s="24">
        <f t="shared" si="1"/>
        <v>0.00035292109580283644</v>
      </c>
      <c r="E49" s="8">
        <f t="shared" si="2"/>
        <v>0.05716719536258301</v>
      </c>
      <c r="F49" s="3">
        <v>356.48</v>
      </c>
      <c r="G49" s="25">
        <f t="shared" si="3"/>
        <v>1.1200000000000045</v>
      </c>
      <c r="H49" s="24">
        <f t="shared" si="4"/>
        <v>0.003151733453399382</v>
      </c>
      <c r="I49" s="8">
        <f t="shared" si="5"/>
        <v>0.03543627280120845</v>
      </c>
    </row>
    <row r="50" spans="1:9" ht="18.75">
      <c r="A50" s="10" t="s">
        <v>112</v>
      </c>
      <c r="B50" s="7">
        <v>10.690363983360092</v>
      </c>
      <c r="C50" s="23">
        <f t="shared" si="0"/>
        <v>-0.016420960443731758</v>
      </c>
      <c r="D50" s="24">
        <f t="shared" si="1"/>
        <v>-0.0015336966727098422</v>
      </c>
      <c r="E50" s="8">
        <f t="shared" si="2"/>
        <v>0.05554582155255742</v>
      </c>
      <c r="F50" s="3">
        <v>351.52</v>
      </c>
      <c r="G50" s="25">
        <f t="shared" si="3"/>
        <v>-4.960000000000036</v>
      </c>
      <c r="H50" s="24">
        <f t="shared" si="4"/>
        <v>-0.01391382405745073</v>
      </c>
      <c r="I50" s="8">
        <f t="shared" si="5"/>
        <v>0.021029394678749883</v>
      </c>
    </row>
    <row r="51" spans="1:9" ht="18.75">
      <c r="A51" s="10" t="s">
        <v>114</v>
      </c>
      <c r="B51" s="7">
        <v>10.706723930813018</v>
      </c>
      <c r="C51" s="23">
        <f t="shared" si="0"/>
        <v>0.01635994745292635</v>
      </c>
      <c r="D51" s="24">
        <f t="shared" si="1"/>
        <v>0.0015303452228933602</v>
      </c>
      <c r="E51" s="8">
        <f t="shared" si="2"/>
        <v>0.05716117105811542</v>
      </c>
      <c r="F51" s="3">
        <v>357.23</v>
      </c>
      <c r="G51" s="25">
        <f t="shared" si="3"/>
        <v>5.710000000000036</v>
      </c>
      <c r="H51" s="24">
        <f t="shared" si="4"/>
        <v>0.01624374146563506</v>
      </c>
      <c r="I51" s="8">
        <f t="shared" si="5"/>
        <v>0.03761473219472536</v>
      </c>
    </row>
    <row r="52" spans="1:9" ht="18.75">
      <c r="A52" s="10" t="s">
        <v>115</v>
      </c>
      <c r="B52" s="7">
        <v>10.743214954021308</v>
      </c>
      <c r="C52" s="23">
        <f t="shared" si="0"/>
        <v>0.03649102320829023</v>
      </c>
      <c r="D52" s="24">
        <f t="shared" si="1"/>
        <v>0.0034082342501866743</v>
      </c>
      <c r="E52" s="8">
        <f t="shared" si="2"/>
        <v>0.060764223969283146</v>
      </c>
      <c r="F52" s="3">
        <v>364.15</v>
      </c>
      <c r="G52" s="25">
        <f t="shared" si="3"/>
        <v>6.919999999999959</v>
      </c>
      <c r="H52" s="24">
        <f t="shared" si="4"/>
        <v>0.019371273409288018</v>
      </c>
      <c r="I52" s="8">
        <f t="shared" si="5"/>
        <v>0.05771465086557455</v>
      </c>
    </row>
    <row r="53" spans="1:9" ht="18.75">
      <c r="A53" s="10" t="s">
        <v>117</v>
      </c>
      <c r="B53" s="7">
        <v>10.656422150051087</v>
      </c>
      <c r="C53" s="23">
        <f t="shared" si="0"/>
        <v>-0.08679280397022104</v>
      </c>
      <c r="D53" s="24">
        <f t="shared" si="1"/>
        <v>-0.008078848309530798</v>
      </c>
      <c r="E53" s="8">
        <f t="shared" si="2"/>
        <v>0.05219447071165815</v>
      </c>
      <c r="F53" s="3">
        <v>365.51</v>
      </c>
      <c r="G53" s="25">
        <f t="shared" si="3"/>
        <v>1.3600000000000136</v>
      </c>
      <c r="H53" s="24">
        <f t="shared" si="4"/>
        <v>0.0037347247013593677</v>
      </c>
      <c r="I53" s="8">
        <f t="shared" si="5"/>
        <v>0.06166492389915191</v>
      </c>
    </row>
    <row r="54" spans="1:9" ht="18.75">
      <c r="A54" s="10" t="s">
        <v>119</v>
      </c>
      <c r="B54" s="7">
        <v>10.242548846883667</v>
      </c>
      <c r="C54" s="23">
        <f t="shared" si="0"/>
        <v>-0.41387330316742066</v>
      </c>
      <c r="D54" s="24">
        <f t="shared" si="1"/>
        <v>-0.03883792302329507</v>
      </c>
      <c r="E54" s="8">
        <f t="shared" si="2"/>
        <v>0.011329422852622072</v>
      </c>
      <c r="F54" s="3">
        <v>360.41</v>
      </c>
      <c r="G54" s="25">
        <f t="shared" si="3"/>
        <v>-5.099999999999966</v>
      </c>
      <c r="H54" s="24">
        <f t="shared" si="4"/>
        <v>-0.013953106618149889</v>
      </c>
      <c r="I54" s="8">
        <f t="shared" si="5"/>
        <v>0.04685140002323705</v>
      </c>
    </row>
    <row r="55" spans="1:9" ht="18.75">
      <c r="A55" s="10" t="s">
        <v>120</v>
      </c>
      <c r="B55" s="7">
        <v>10.144023084221281</v>
      </c>
      <c r="C55" s="23">
        <f t="shared" si="0"/>
        <v>-0.09852576266238522</v>
      </c>
      <c r="D55" s="24">
        <f t="shared" si="1"/>
        <v>-0.009619262171482058</v>
      </c>
      <c r="E55" s="8">
        <f t="shared" si="2"/>
        <v>0.0016011799924690638</v>
      </c>
      <c r="F55" s="3">
        <v>358.76</v>
      </c>
      <c r="G55" s="25">
        <f t="shared" si="3"/>
        <v>-1.650000000000034</v>
      </c>
      <c r="H55" s="24">
        <f t="shared" si="4"/>
        <v>-0.004578119364057696</v>
      </c>
      <c r="I55" s="8">
        <f t="shared" si="5"/>
        <v>0.042058789357499765</v>
      </c>
    </row>
    <row r="56" spans="1:9" ht="18.75">
      <c r="A56" s="10" t="s">
        <v>122</v>
      </c>
      <c r="B56" s="7">
        <v>10.338933729916613</v>
      </c>
      <c r="C56" s="23">
        <f t="shared" si="0"/>
        <v>0.194910645695332</v>
      </c>
      <c r="D56" s="24">
        <f t="shared" si="1"/>
        <v>0.019214333807906013</v>
      </c>
      <c r="E56" s="8">
        <f t="shared" si="2"/>
        <v>0.02084627940723692</v>
      </c>
      <c r="F56" s="3">
        <v>360.37</v>
      </c>
      <c r="G56" s="25">
        <f t="shared" si="3"/>
        <v>1.6100000000000136</v>
      </c>
      <c r="H56" s="24">
        <f t="shared" si="4"/>
        <v>0.00448767978592935</v>
      </c>
      <c r="I56" s="8">
        <f t="shared" si="5"/>
        <v>0.04673521552224943</v>
      </c>
    </row>
    <row r="57" spans="1:9" ht="18.75">
      <c r="A57" s="10" t="s">
        <v>125</v>
      </c>
      <c r="B57" s="7">
        <v>10.740784960341673</v>
      </c>
      <c r="C57" s="23">
        <f t="shared" si="0"/>
        <v>0.4018512304250592</v>
      </c>
      <c r="D57" s="24">
        <f t="shared" si="1"/>
        <v>0.038867763438918984</v>
      </c>
      <c r="E57" s="8">
        <f t="shared" si="2"/>
        <v>0.06052429110273799</v>
      </c>
      <c r="F57" s="3">
        <v>364.05</v>
      </c>
      <c r="G57" s="25">
        <f t="shared" si="3"/>
        <v>3.680000000000007</v>
      </c>
      <c r="H57" s="24">
        <f t="shared" si="4"/>
        <v>0.010211726836307148</v>
      </c>
      <c r="I57" s="8">
        <f t="shared" si="5"/>
        <v>0.057424189613105726</v>
      </c>
    </row>
    <row r="58" spans="1:9" ht="18.75">
      <c r="A58" s="10" t="s">
        <v>126</v>
      </c>
      <c r="B58" s="7">
        <v>10.993038773642466</v>
      </c>
      <c r="C58" s="23">
        <f t="shared" si="0"/>
        <v>0.25225381330079344</v>
      </c>
      <c r="D58" s="24">
        <f t="shared" si="1"/>
        <v>0.023485603168873895</v>
      </c>
      <c r="E58" s="8">
        <f t="shared" si="2"/>
        <v>0.0854313437545282</v>
      </c>
      <c r="F58" s="3">
        <v>373.33</v>
      </c>
      <c r="G58" s="25">
        <f t="shared" si="3"/>
        <v>9.279999999999973</v>
      </c>
      <c r="H58" s="24">
        <f t="shared" si="4"/>
        <v>0.025491003982969298</v>
      </c>
      <c r="I58" s="8">
        <f t="shared" si="5"/>
        <v>0.08437899384222149</v>
      </c>
    </row>
    <row r="59" spans="1:9" ht="18.75">
      <c r="A59" s="10" t="s">
        <v>127</v>
      </c>
      <c r="B59" s="7">
        <v>10.993038773642466</v>
      </c>
      <c r="C59" s="23">
        <f t="shared" si="0"/>
        <v>0</v>
      </c>
      <c r="D59" s="24">
        <f t="shared" si="1"/>
        <v>0</v>
      </c>
      <c r="E59" s="8">
        <f t="shared" si="2"/>
        <v>0.0854313437545282</v>
      </c>
      <c r="F59" s="3">
        <v>371.82</v>
      </c>
      <c r="G59" s="25">
        <f t="shared" si="3"/>
        <v>-1.509999999999991</v>
      </c>
      <c r="H59" s="24">
        <f t="shared" si="4"/>
        <v>-0.004044678970347926</v>
      </c>
      <c r="I59" s="8">
        <f t="shared" si="5"/>
        <v>0.07999302892994081</v>
      </c>
    </row>
    <row r="60" spans="1:9" ht="18.75">
      <c r="A60" s="10" t="s">
        <v>128</v>
      </c>
      <c r="B60" s="7">
        <v>10.993038773642466</v>
      </c>
      <c r="C60" s="23">
        <f t="shared" si="0"/>
        <v>0</v>
      </c>
      <c r="D60" s="24">
        <f t="shared" si="1"/>
        <v>0</v>
      </c>
      <c r="E60" s="8">
        <f t="shared" si="2"/>
        <v>0.0854313437545282</v>
      </c>
      <c r="F60" s="3">
        <v>370.48</v>
      </c>
      <c r="G60" s="25">
        <f t="shared" si="3"/>
        <v>-1.339999999999975</v>
      </c>
      <c r="H60" s="24">
        <f t="shared" si="4"/>
        <v>-0.0036038943574847374</v>
      </c>
      <c r="I60" s="8">
        <f t="shared" si="5"/>
        <v>0.07610084814685734</v>
      </c>
    </row>
    <row r="61" spans="1:9" ht="18.75">
      <c r="A61" s="10" t="s">
        <v>129</v>
      </c>
      <c r="B61" s="7">
        <v>10.993038773642466</v>
      </c>
      <c r="C61" s="23">
        <f t="shared" si="0"/>
        <v>0</v>
      </c>
      <c r="D61" s="24">
        <f t="shared" si="1"/>
        <v>0</v>
      </c>
      <c r="E61" s="8">
        <f t="shared" si="2"/>
        <v>0.0854313437545282</v>
      </c>
      <c r="F61" s="3">
        <v>367.16</v>
      </c>
      <c r="G61" s="25">
        <f t="shared" si="3"/>
        <v>-3.319999999999993</v>
      </c>
      <c r="H61" s="24">
        <f t="shared" si="4"/>
        <v>-0.008961347441157399</v>
      </c>
      <c r="I61" s="8">
        <f t="shared" si="5"/>
        <v>0.0664575345648892</v>
      </c>
    </row>
    <row r="62" spans="1:9" ht="18.75">
      <c r="A62" s="10" t="s">
        <v>130</v>
      </c>
      <c r="B62" s="7">
        <v>10.993038773642466</v>
      </c>
      <c r="C62" s="23">
        <f t="shared" si="0"/>
        <v>0</v>
      </c>
      <c r="D62" s="24">
        <f t="shared" si="1"/>
        <v>0</v>
      </c>
      <c r="E62" s="8">
        <f t="shared" si="2"/>
        <v>0.0854313437545282</v>
      </c>
      <c r="F62" s="3">
        <v>371.45</v>
      </c>
      <c r="G62" s="25">
        <f t="shared" si="3"/>
        <v>4.289999999999964</v>
      </c>
      <c r="H62" s="24">
        <f t="shared" si="4"/>
        <v>0.011684279333260604</v>
      </c>
      <c r="I62" s="8">
        <f t="shared" si="5"/>
        <v>0.0789183222958058</v>
      </c>
    </row>
    <row r="63" spans="1:9" ht="18.75">
      <c r="A63" s="10" t="s">
        <v>131</v>
      </c>
      <c r="B63" s="7">
        <v>10.993038773642466</v>
      </c>
      <c r="C63" s="23">
        <f t="shared" si="0"/>
        <v>0</v>
      </c>
      <c r="D63" s="24">
        <f t="shared" si="1"/>
        <v>0</v>
      </c>
      <c r="E63" s="8">
        <f t="shared" si="2"/>
        <v>0.0854313437545282</v>
      </c>
      <c r="F63" s="3">
        <v>375.91</v>
      </c>
      <c r="G63" s="25">
        <f t="shared" si="3"/>
        <v>4.460000000000036</v>
      </c>
      <c r="H63" s="24">
        <f t="shared" si="4"/>
        <v>0.012006999596177242</v>
      </c>
      <c r="I63" s="8">
        <f t="shared" si="5"/>
        <v>0.09187289415591976</v>
      </c>
    </row>
    <row r="64" spans="1:9" ht="18.75">
      <c r="A64" s="10" t="s">
        <v>132</v>
      </c>
      <c r="B64" s="7">
        <v>10.993038773642466</v>
      </c>
      <c r="C64" s="23">
        <f t="shared" si="0"/>
        <v>0</v>
      </c>
      <c r="D64" s="24">
        <f t="shared" si="1"/>
        <v>0</v>
      </c>
      <c r="E64" s="8">
        <f t="shared" si="2"/>
        <v>0.0854313437545282</v>
      </c>
      <c r="F64" s="3">
        <v>373.17</v>
      </c>
      <c r="G64" s="25">
        <f t="shared" si="3"/>
        <v>-2.740000000000009</v>
      </c>
      <c r="H64" s="24">
        <f t="shared" si="4"/>
        <v>-0.007288978744912369</v>
      </c>
      <c r="I64" s="8">
        <f t="shared" si="5"/>
        <v>0.0839142558382713</v>
      </c>
    </row>
    <row r="65" spans="1:9" ht="18.75">
      <c r="A65" s="10" t="s">
        <v>133</v>
      </c>
      <c r="B65" s="7">
        <v>10.993038773642466</v>
      </c>
      <c r="C65" s="23">
        <f t="shared" si="0"/>
        <v>0</v>
      </c>
      <c r="D65" s="24">
        <f t="shared" si="1"/>
        <v>0</v>
      </c>
      <c r="E65" s="8">
        <f t="shared" si="2"/>
        <v>0.0854313437545282</v>
      </c>
      <c r="F65" s="3">
        <v>376.56</v>
      </c>
      <c r="G65" s="25">
        <f t="shared" si="3"/>
        <v>3.3899999999999864</v>
      </c>
      <c r="H65" s="24">
        <f t="shared" si="4"/>
        <v>0.009084331537904939</v>
      </c>
      <c r="I65" s="8">
        <f t="shared" si="5"/>
        <v>0.09376089229696767</v>
      </c>
    </row>
    <row r="66" spans="1:9" ht="18.75">
      <c r="A66" s="10" t="s">
        <v>136</v>
      </c>
      <c r="B66" s="7">
        <v>11.010789943054709</v>
      </c>
      <c r="C66" s="23">
        <f t="shared" si="0"/>
        <v>0.017751169412242973</v>
      </c>
      <c r="D66" s="24">
        <f t="shared" si="1"/>
        <v>0.0016147645594413972</v>
      </c>
      <c r="E66" s="8">
        <f t="shared" si="2"/>
        <v>0.08718405982012986</v>
      </c>
      <c r="F66" s="3">
        <v>376.3</v>
      </c>
      <c r="G66" s="25">
        <f t="shared" si="3"/>
        <v>-0.2599999999999909</v>
      </c>
      <c r="H66" s="24">
        <f t="shared" si="4"/>
        <v>-0.0006904610155087925</v>
      </c>
      <c r="I66" s="8">
        <f t="shared" si="5"/>
        <v>0.09300569304054851</v>
      </c>
    </row>
    <row r="67" spans="1:9" ht="18.75">
      <c r="A67" s="10" t="s">
        <v>138</v>
      </c>
      <c r="B67" s="7">
        <v>11.239582043558853</v>
      </c>
      <c r="C67" s="23">
        <f t="shared" si="0"/>
        <v>0.228792100504144</v>
      </c>
      <c r="D67" s="24">
        <f t="shared" si="1"/>
        <v>0.020778899759908643</v>
      </c>
      <c r="E67" s="8">
        <f t="shared" si="2"/>
        <v>0.10977454841970287</v>
      </c>
      <c r="F67" s="3">
        <v>370.8</v>
      </c>
      <c r="G67" s="25">
        <f t="shared" si="3"/>
        <v>-5.5</v>
      </c>
      <c r="H67" s="24">
        <f t="shared" si="4"/>
        <v>-0.014615997874036673</v>
      </c>
      <c r="I67" s="8">
        <f t="shared" si="5"/>
        <v>0.07703032415475787</v>
      </c>
    </row>
    <row r="68" spans="1:9" ht="18.75">
      <c r="A68" s="10" t="s">
        <v>140</v>
      </c>
      <c r="B68" s="7">
        <v>11.137009445474206</v>
      </c>
      <c r="C68" s="23">
        <f t="shared" si="0"/>
        <v>-0.10257259808464703</v>
      </c>
      <c r="D68" s="24">
        <f t="shared" si="1"/>
        <v>-0.00912601533465642</v>
      </c>
      <c r="E68" s="8">
        <f aca="true" t="shared" si="6" ref="E68:E131">(B68-$B$3)/$B$3</f>
        <v>0.09964672887281326</v>
      </c>
      <c r="F68" s="3">
        <v>374.76</v>
      </c>
      <c r="G68" s="25">
        <f t="shared" si="3"/>
        <v>3.9599999999999795</v>
      </c>
      <c r="H68" s="24">
        <f t="shared" si="4"/>
        <v>0.010679611650485381</v>
      </c>
      <c r="I68" s="8">
        <f aca="true" t="shared" si="7" ref="I68:I131">(F68-$F$3)/$F$3</f>
        <v>0.08853258975252708</v>
      </c>
    </row>
    <row r="69" spans="1:9" ht="18.75">
      <c r="A69" s="10" t="s">
        <v>143</v>
      </c>
      <c r="B69" s="7">
        <v>11.150408812171763</v>
      </c>
      <c r="C69" s="23">
        <f t="shared" si="0"/>
        <v>0.013399366697557369</v>
      </c>
      <c r="D69" s="24">
        <f t="shared" si="1"/>
        <v>0.001203138666906898</v>
      </c>
      <c r="E69" s="8">
        <f t="shared" si="6"/>
        <v>0.10096975637225782</v>
      </c>
      <c r="F69" s="3">
        <v>369.69</v>
      </c>
      <c r="G69" s="25">
        <f t="shared" si="3"/>
        <v>-5.069999999999993</v>
      </c>
      <c r="H69" s="24">
        <f t="shared" si="4"/>
        <v>-0.013528658341338439</v>
      </c>
      <c r="I69" s="8">
        <f t="shared" si="7"/>
        <v>0.07380620425235282</v>
      </c>
    </row>
    <row r="70" spans="1:9" ht="18.75">
      <c r="A70" s="10" t="s">
        <v>144</v>
      </c>
      <c r="B70" s="7">
        <v>11.150408812171763</v>
      </c>
      <c r="C70" s="23">
        <f t="shared" si="0"/>
        <v>0</v>
      </c>
      <c r="D70" s="24">
        <f t="shared" si="1"/>
        <v>0</v>
      </c>
      <c r="E70" s="8">
        <f t="shared" si="6"/>
        <v>0.10096975637225782</v>
      </c>
      <c r="F70" s="3">
        <v>370.3</v>
      </c>
      <c r="G70" s="25">
        <f t="shared" si="3"/>
        <v>0.6100000000000136</v>
      </c>
      <c r="H70" s="24">
        <f t="shared" si="4"/>
        <v>0.0016500311071438601</v>
      </c>
      <c r="I70" s="8">
        <f t="shared" si="7"/>
        <v>0.07557801789241327</v>
      </c>
    </row>
    <row r="71" spans="1:9" ht="18.75">
      <c r="A71" s="10" t="s">
        <v>145</v>
      </c>
      <c r="B71" s="7">
        <v>11.169716813407476</v>
      </c>
      <c r="C71" s="23">
        <f t="shared" si="0"/>
        <v>0.019308001235712524</v>
      </c>
      <c r="D71" s="24">
        <f t="shared" si="1"/>
        <v>0.0017315958150911875</v>
      </c>
      <c r="E71" s="8">
        <f t="shared" si="6"/>
        <v>0.10287619099493399</v>
      </c>
      <c r="F71" s="3">
        <v>370.01</v>
      </c>
      <c r="G71" s="25">
        <f t="shared" si="3"/>
        <v>-0.29000000000002046</v>
      </c>
      <c r="H71" s="24">
        <f t="shared" si="4"/>
        <v>-0.0007831487982717268</v>
      </c>
      <c r="I71" s="8">
        <f t="shared" si="7"/>
        <v>0.07473568026025335</v>
      </c>
    </row>
    <row r="72" spans="1:9" ht="18.75">
      <c r="A72" s="10" t="s">
        <v>146</v>
      </c>
      <c r="B72" s="7">
        <v>11.1697168134075</v>
      </c>
      <c r="C72" s="23">
        <f t="shared" si="0"/>
        <v>2.4868995751603507E-14</v>
      </c>
      <c r="D72" s="24">
        <f aca="true" t="shared" si="8" ref="D72:D77">$C72/$B71</f>
        <v>2.2264660928334562E-15</v>
      </c>
      <c r="E72" s="8">
        <f t="shared" si="6"/>
        <v>0.10287619099493645</v>
      </c>
      <c r="F72" s="3">
        <v>372.4</v>
      </c>
      <c r="G72" s="25">
        <f t="shared" si="3"/>
        <v>2.3899999999999864</v>
      </c>
      <c r="H72" s="24">
        <f t="shared" si="4"/>
        <v>0.006459284884192283</v>
      </c>
      <c r="I72" s="8">
        <f t="shared" si="7"/>
        <v>0.0816777041942605</v>
      </c>
    </row>
    <row r="73" spans="1:9" ht="18.75">
      <c r="A73" s="10" t="s">
        <v>147</v>
      </c>
      <c r="B73" s="7">
        <v>11.1697168134075</v>
      </c>
      <c r="C73" s="23">
        <f t="shared" si="0"/>
        <v>0</v>
      </c>
      <c r="D73" s="24">
        <f t="shared" si="8"/>
        <v>0</v>
      </c>
      <c r="E73" s="8">
        <f t="shared" si="6"/>
        <v>0.10287619099493645</v>
      </c>
      <c r="F73" s="3">
        <v>373.37</v>
      </c>
      <c r="G73" s="25">
        <f t="shared" si="3"/>
        <v>0.9700000000000273</v>
      </c>
      <c r="H73" s="24">
        <f t="shared" si="4"/>
        <v>0.002604726100966776</v>
      </c>
      <c r="I73" s="8">
        <f t="shared" si="7"/>
        <v>0.08449517834320912</v>
      </c>
    </row>
    <row r="74" spans="1:9" ht="18.75">
      <c r="A74" s="10" t="s">
        <v>148</v>
      </c>
      <c r="B74" s="7">
        <v>11.150408812171763</v>
      </c>
      <c r="C74" s="23">
        <f t="shared" si="0"/>
        <v>-0.019308001235737393</v>
      </c>
      <c r="D74" s="24">
        <f t="shared" si="8"/>
        <v>-0.001728602574110129</v>
      </c>
      <c r="E74" s="8">
        <f t="shared" si="6"/>
        <v>0.10096975637225782</v>
      </c>
      <c r="F74" s="3">
        <v>373.28</v>
      </c>
      <c r="G74" s="25">
        <f t="shared" si="3"/>
        <v>-0.09000000000003183</v>
      </c>
      <c r="H74" s="24">
        <f t="shared" si="4"/>
        <v>-0.00024104775423850828</v>
      </c>
      <c r="I74" s="8">
        <f t="shared" si="7"/>
        <v>0.084233763215987</v>
      </c>
    </row>
    <row r="75" spans="1:9" ht="18.75">
      <c r="A75" s="10" t="s">
        <v>149</v>
      </c>
      <c r="B75" s="7">
        <v>11.227640817114612</v>
      </c>
      <c r="C75" s="23">
        <f t="shared" si="0"/>
        <v>0.07723200494284832</v>
      </c>
      <c r="D75" s="24">
        <f t="shared" si="8"/>
        <v>0.0069263832603645905</v>
      </c>
      <c r="E75" s="8">
        <f t="shared" si="6"/>
        <v>0.10859549486296231</v>
      </c>
      <c r="F75" s="3">
        <v>379.1</v>
      </c>
      <c r="G75" s="25">
        <f t="shared" si="3"/>
        <v>5.82000000000005</v>
      </c>
      <c r="H75" s="24">
        <f t="shared" si="4"/>
        <v>0.01559151307329632</v>
      </c>
      <c r="I75" s="8">
        <f t="shared" si="7"/>
        <v>0.10113860810967833</v>
      </c>
    </row>
    <row r="76" spans="1:9" ht="18.75">
      <c r="A76" s="10" t="s">
        <v>150</v>
      </c>
      <c r="B76" s="7">
        <v>11.189024814643188</v>
      </c>
      <c r="C76" s="23">
        <f t="shared" si="0"/>
        <v>-0.03861600247142327</v>
      </c>
      <c r="D76" s="24">
        <f t="shared" si="8"/>
        <v>-0.0034393692406475816</v>
      </c>
      <c r="E76" s="8">
        <f t="shared" si="6"/>
        <v>0.10478262561761015</v>
      </c>
      <c r="F76" s="3">
        <v>378.95</v>
      </c>
      <c r="G76" s="25">
        <f t="shared" si="3"/>
        <v>-0.1500000000000341</v>
      </c>
      <c r="H76" s="24">
        <f t="shared" si="4"/>
        <v>-0.0003956739646532158</v>
      </c>
      <c r="I76" s="8">
        <f t="shared" si="7"/>
        <v>0.10070291623097484</v>
      </c>
    </row>
    <row r="77" spans="1:9" ht="18.75">
      <c r="A77" s="10" t="s">
        <v>153</v>
      </c>
      <c r="B77" s="7">
        <v>11.166901984862529</v>
      </c>
      <c r="C77" s="23">
        <f t="shared" si="0"/>
        <v>-0.022122829780659714</v>
      </c>
      <c r="D77" s="24">
        <f t="shared" si="8"/>
        <v>-0.001977190161532875</v>
      </c>
      <c r="E77" s="8">
        <f t="shared" si="6"/>
        <v>0.10259826027960656</v>
      </c>
      <c r="F77" s="3">
        <v>375.48</v>
      </c>
      <c r="G77" s="25">
        <f t="shared" si="3"/>
        <v>-3.4699999999999704</v>
      </c>
      <c r="H77" s="24">
        <f t="shared" si="4"/>
        <v>-0.009156880854993985</v>
      </c>
      <c r="I77" s="8">
        <f t="shared" si="7"/>
        <v>0.09062391077030338</v>
      </c>
    </row>
    <row r="78" spans="1:9" ht="18.75">
      <c r="A78" s="10" t="s">
        <v>154</v>
      </c>
      <c r="B78" s="7">
        <v>11.285261338315218</v>
      </c>
      <c r="C78" s="23">
        <f t="shared" si="0"/>
        <v>0.11835935345268922</v>
      </c>
      <c r="D78" s="24">
        <f aca="true" t="shared" si="9" ref="D78:D83">$C78/$B77</f>
        <v>0.01059912172714806</v>
      </c>
      <c r="E78" s="8">
        <f t="shared" si="6"/>
        <v>0.11428483345645178</v>
      </c>
      <c r="F78" s="3">
        <v>379.14</v>
      </c>
      <c r="G78" s="25">
        <f t="shared" si="3"/>
        <v>3.659999999999968</v>
      </c>
      <c r="H78" s="24">
        <f t="shared" si="4"/>
        <v>0.009747523170341877</v>
      </c>
      <c r="I78" s="8">
        <f t="shared" si="7"/>
        <v>0.10125479261066578</v>
      </c>
    </row>
    <row r="79" spans="1:9" ht="18.75">
      <c r="A79" s="10" t="s">
        <v>159</v>
      </c>
      <c r="B79" s="7">
        <v>11.311035169836957</v>
      </c>
      <c r="C79" s="23">
        <f t="shared" si="0"/>
        <v>0.02577383152173951</v>
      </c>
      <c r="D79" s="24">
        <f t="shared" si="9"/>
        <v>0.0022838488847602796</v>
      </c>
      <c r="E79" s="8">
        <f t="shared" si="6"/>
        <v>0.11682969163064659</v>
      </c>
      <c r="F79" s="3">
        <v>380.26</v>
      </c>
      <c r="G79" s="25">
        <f t="shared" si="3"/>
        <v>1.1200000000000045</v>
      </c>
      <c r="H79" s="24">
        <f t="shared" si="4"/>
        <v>0.0029540539114838965</v>
      </c>
      <c r="I79" s="8">
        <f t="shared" si="7"/>
        <v>0.10450795863831772</v>
      </c>
    </row>
    <row r="80" spans="1:9" ht="18.75">
      <c r="A80" s="10" t="s">
        <v>160</v>
      </c>
      <c r="B80" s="7">
        <v>10.933413736413044</v>
      </c>
      <c r="C80" s="23">
        <f t="shared" si="0"/>
        <v>-0.3776214334239132</v>
      </c>
      <c r="D80" s="24">
        <f t="shared" si="9"/>
        <v>-0.033385223169574534</v>
      </c>
      <c r="E80" s="8">
        <f t="shared" si="6"/>
        <v>0.07954408313315035</v>
      </c>
      <c r="F80" s="3">
        <v>370.25</v>
      </c>
      <c r="G80" s="25">
        <f t="shared" si="3"/>
        <v>-10.009999999999991</v>
      </c>
      <c r="H80" s="24">
        <f t="shared" si="4"/>
        <v>-0.026324094040919347</v>
      </c>
      <c r="I80" s="8">
        <f t="shared" si="7"/>
        <v>0.07543278726617877</v>
      </c>
    </row>
    <row r="81" spans="1:9" ht="18.75">
      <c r="A81" s="10" t="s">
        <v>163</v>
      </c>
      <c r="B81" s="7">
        <v>10.941400699728263</v>
      </c>
      <c r="C81" s="23">
        <f t="shared" si="0"/>
        <v>0.007986963315218532</v>
      </c>
      <c r="D81" s="24">
        <f t="shared" si="9"/>
        <v>0.0007305095652438775</v>
      </c>
      <c r="E81" s="8">
        <f t="shared" si="6"/>
        <v>0.08033270041198155</v>
      </c>
      <c r="F81" s="3">
        <v>368.71</v>
      </c>
      <c r="G81" s="25">
        <f t="shared" si="3"/>
        <v>-1.5400000000000205</v>
      </c>
      <c r="H81" s="24">
        <f t="shared" si="4"/>
        <v>-0.004159351789331588</v>
      </c>
      <c r="I81" s="8">
        <f t="shared" si="7"/>
        <v>0.07095968397815734</v>
      </c>
    </row>
    <row r="82" spans="1:9" ht="18.75">
      <c r="A82" s="10" t="s">
        <v>166</v>
      </c>
      <c r="B82" s="7">
        <v>11.07400192255435</v>
      </c>
      <c r="C82" s="23">
        <f t="shared" si="0"/>
        <v>0.13260122282608755</v>
      </c>
      <c r="D82" s="24">
        <f t="shared" si="9"/>
        <v>0.012119218230384414</v>
      </c>
      <c r="E82" s="8">
        <f t="shared" si="6"/>
        <v>0.09342548816969486</v>
      </c>
      <c r="F82" s="3">
        <v>370.45</v>
      </c>
      <c r="G82" s="25">
        <f t="shared" si="3"/>
        <v>1.740000000000009</v>
      </c>
      <c r="H82" s="24">
        <f t="shared" si="4"/>
        <v>0.004719155976241516</v>
      </c>
      <c r="I82" s="8">
        <f t="shared" si="7"/>
        <v>0.07601370977111659</v>
      </c>
    </row>
    <row r="83" spans="1:9" ht="18.75">
      <c r="A83" s="10" t="s">
        <v>169</v>
      </c>
      <c r="B83" s="7">
        <v>10.956344691838241</v>
      </c>
      <c r="C83" s="23">
        <f t="shared" si="0"/>
        <v>-0.11765723071610878</v>
      </c>
      <c r="D83" s="24">
        <f t="shared" si="9"/>
        <v>-0.01062463520766391</v>
      </c>
      <c r="E83" s="8">
        <f t="shared" si="6"/>
        <v>0.08180824123113002</v>
      </c>
      <c r="F83" s="3">
        <v>371.18</v>
      </c>
      <c r="G83" s="25">
        <f t="shared" si="3"/>
        <v>0.7300000000000182</v>
      </c>
      <c r="H83" s="24">
        <f t="shared" si="4"/>
        <v>0.0019705763260899397</v>
      </c>
      <c r="I83" s="8">
        <f t="shared" si="7"/>
        <v>0.07813407691413976</v>
      </c>
    </row>
    <row r="84" spans="1:9" ht="18.75">
      <c r="A84" s="10" t="s">
        <v>170</v>
      </c>
      <c r="B84" s="7">
        <v>10.767222567232247</v>
      </c>
      <c r="C84" s="23">
        <f t="shared" si="0"/>
        <v>-0.1891221246059942</v>
      </c>
      <c r="D84" s="24">
        <f aca="true" t="shared" si="10" ref="D84:D89">$C84/$B83</f>
        <v>-0.017261425222125204</v>
      </c>
      <c r="E84" s="8">
        <f t="shared" si="6"/>
        <v>0.06313468917044009</v>
      </c>
      <c r="F84" s="3">
        <v>364.42</v>
      </c>
      <c r="G84" s="25">
        <f t="shared" si="3"/>
        <v>-6.759999999999991</v>
      </c>
      <c r="H84" s="24">
        <f t="shared" si="4"/>
        <v>-0.01821218815668945</v>
      </c>
      <c r="I84" s="8">
        <f t="shared" si="7"/>
        <v>0.05849889624724075</v>
      </c>
    </row>
    <row r="85" spans="1:9" ht="18.75">
      <c r="A85" s="10" t="s">
        <v>171</v>
      </c>
      <c r="B85" s="7">
        <v>10.667966984105696</v>
      </c>
      <c r="C85" s="23">
        <f t="shared" si="0"/>
        <v>-0.09925558312655092</v>
      </c>
      <c r="D85" s="24">
        <f t="shared" si="10"/>
        <v>-0.009218308854189955</v>
      </c>
      <c r="E85" s="8">
        <f t="shared" si="6"/>
        <v>0.053334385252063736</v>
      </c>
      <c r="F85" s="3">
        <v>359.53</v>
      </c>
      <c r="G85" s="25">
        <f t="shared" si="3"/>
        <v>-4.890000000000043</v>
      </c>
      <c r="H85" s="24">
        <f t="shared" si="4"/>
        <v>-0.01341858295373482</v>
      </c>
      <c r="I85" s="8">
        <f t="shared" si="7"/>
        <v>0.044295341001510405</v>
      </c>
    </row>
    <row r="86" spans="1:9" ht="18.75">
      <c r="A86" s="10" t="s">
        <v>173</v>
      </c>
      <c r="B86" s="7">
        <v>10.6318126953256</v>
      </c>
      <c r="C86" s="23">
        <f t="shared" si="0"/>
        <v>-0.03615428878009652</v>
      </c>
      <c r="D86" s="24">
        <f t="shared" si="10"/>
        <v>-0.0033890514316329565</v>
      </c>
      <c r="E86" s="8">
        <f t="shared" si="6"/>
        <v>0.04976458084573701</v>
      </c>
      <c r="F86" s="3">
        <v>362.09</v>
      </c>
      <c r="G86" s="25">
        <f t="shared" si="3"/>
        <v>2.5600000000000023</v>
      </c>
      <c r="H86" s="24">
        <f t="shared" si="4"/>
        <v>0.007120407198286659</v>
      </c>
      <c r="I86" s="8">
        <f t="shared" si="7"/>
        <v>0.05173114906471478</v>
      </c>
    </row>
    <row r="87" spans="1:9" ht="18.75">
      <c r="A87" s="10" t="s">
        <v>175</v>
      </c>
      <c r="B87" s="7">
        <v>10.199681677955871</v>
      </c>
      <c r="C87" s="23">
        <f t="shared" si="0"/>
        <v>-0.4321310173697288</v>
      </c>
      <c r="D87" s="24">
        <f t="shared" si="10"/>
        <v>-0.04064509315139837</v>
      </c>
      <c r="E87" s="8">
        <f t="shared" si="6"/>
        <v>0.007096801670223362</v>
      </c>
      <c r="F87" s="3">
        <v>356.76</v>
      </c>
      <c r="G87" s="25">
        <f t="shared" si="3"/>
        <v>-5.329999999999984</v>
      </c>
      <c r="H87" s="24">
        <f t="shared" si="4"/>
        <v>-0.01472009721339994</v>
      </c>
      <c r="I87" s="8">
        <f t="shared" si="7"/>
        <v>0.03624956430812135</v>
      </c>
    </row>
    <row r="88" spans="1:9" ht="18.75">
      <c r="A88" s="10" t="s">
        <v>177</v>
      </c>
      <c r="B88" s="7">
        <v>10.099036181342635</v>
      </c>
      <c r="C88" s="23">
        <f t="shared" si="0"/>
        <v>-0.10064549661323596</v>
      </c>
      <c r="D88" s="24">
        <f t="shared" si="10"/>
        <v>-0.00986751349610809</v>
      </c>
      <c r="E88" s="8">
        <f t="shared" si="6"/>
        <v>-0.0028407396121448592</v>
      </c>
      <c r="F88" s="3">
        <v>356.02</v>
      </c>
      <c r="G88" s="25">
        <f t="shared" si="3"/>
        <v>-0.7400000000000091</v>
      </c>
      <c r="H88" s="24">
        <f t="shared" si="4"/>
        <v>-0.002074223567664562</v>
      </c>
      <c r="I88" s="8">
        <f t="shared" si="7"/>
        <v>0.03410015103985131</v>
      </c>
    </row>
    <row r="89" spans="1:9" ht="18.75">
      <c r="A89" s="10" t="s">
        <v>178</v>
      </c>
      <c r="B89" s="7">
        <v>10.14726285963383</v>
      </c>
      <c r="C89" s="23">
        <f t="shared" si="0"/>
        <v>0.04822667829119531</v>
      </c>
      <c r="D89" s="24">
        <f t="shared" si="10"/>
        <v>0.004775374345156938</v>
      </c>
      <c r="E89" s="8">
        <f t="shared" si="6"/>
        <v>0.0019210691379469716</v>
      </c>
      <c r="F89" s="3">
        <v>358.89</v>
      </c>
      <c r="G89" s="25">
        <f t="shared" si="3"/>
        <v>2.8700000000000045</v>
      </c>
      <c r="H89" s="24">
        <f t="shared" si="4"/>
        <v>0.008061344868265841</v>
      </c>
      <c r="I89" s="8">
        <f t="shared" si="7"/>
        <v>0.042436388985709346</v>
      </c>
    </row>
    <row r="90" spans="1:9" ht="18.75">
      <c r="A90" s="10" t="s">
        <v>180</v>
      </c>
      <c r="B90" s="7">
        <v>10.249445263658606</v>
      </c>
      <c r="C90" s="23">
        <f t="shared" si="0"/>
        <v>0.10218240402477541</v>
      </c>
      <c r="D90" s="24">
        <f aca="true" t="shared" si="11" ref="D90:D162">$C90/$B89</f>
        <v>0.010069947476305224</v>
      </c>
      <c r="E90" s="8">
        <f t="shared" si="6"/>
        <v>0.012010361679569672</v>
      </c>
      <c r="F90" s="3">
        <v>361.32</v>
      </c>
      <c r="G90" s="25">
        <f t="shared" si="3"/>
        <v>2.430000000000007</v>
      </c>
      <c r="H90" s="24">
        <f t="shared" si="4"/>
        <v>0.006770876870350266</v>
      </c>
      <c r="I90" s="8">
        <f t="shared" si="7"/>
        <v>0.04949459742070414</v>
      </c>
    </row>
    <row r="91" spans="1:9" ht="18.75">
      <c r="A91" s="10" t="s">
        <v>182</v>
      </c>
      <c r="B91" s="7">
        <v>10.533635322098396</v>
      </c>
      <c r="C91" s="23">
        <f t="shared" si="0"/>
        <v>0.2841900584397905</v>
      </c>
      <c r="D91" s="24">
        <f t="shared" si="11"/>
        <v>0.027727359981855937</v>
      </c>
      <c r="E91" s="8">
        <f t="shared" si="6"/>
        <v>0.040070737283227326</v>
      </c>
      <c r="F91" s="3">
        <v>367.67</v>
      </c>
      <c r="G91" s="25">
        <f t="shared" si="3"/>
        <v>6.350000000000023</v>
      </c>
      <c r="H91" s="24">
        <f t="shared" si="4"/>
        <v>0.017574449241669496</v>
      </c>
      <c r="I91" s="8">
        <f t="shared" si="7"/>
        <v>0.06793888695248067</v>
      </c>
    </row>
    <row r="92" spans="1:9" ht="18.75">
      <c r="A92" s="10" t="s">
        <v>183</v>
      </c>
      <c r="B92" s="7">
        <v>10.581796896939064</v>
      </c>
      <c r="C92" s="23">
        <f t="shared" si="0"/>
        <v>0.04816157484066785</v>
      </c>
      <c r="D92" s="24">
        <f t="shared" si="11"/>
        <v>0.004572170325626351</v>
      </c>
      <c r="E92" s="8">
        <f t="shared" si="6"/>
        <v>0.04482611784478602</v>
      </c>
      <c r="F92" s="3">
        <v>364.55</v>
      </c>
      <c r="G92" s="25">
        <f t="shared" si="3"/>
        <v>-3.1200000000000045</v>
      </c>
      <c r="H92" s="24">
        <f t="shared" si="4"/>
        <v>-0.008485870481681954</v>
      </c>
      <c r="I92" s="8">
        <f t="shared" si="7"/>
        <v>0.05887649587545033</v>
      </c>
    </row>
    <row r="93" spans="1:9" ht="18.75">
      <c r="A93" s="10" t="s">
        <v>189</v>
      </c>
      <c r="B93" s="7">
        <v>10.546401755124966</v>
      </c>
      <c r="C93" s="23">
        <f t="shared" si="0"/>
        <v>-0.03539514181409764</v>
      </c>
      <c r="D93" s="24">
        <f t="shared" si="11"/>
        <v>-0.0033449084459687742</v>
      </c>
      <c r="E93" s="8">
        <f t="shared" si="6"/>
        <v>0.04133127013863823</v>
      </c>
      <c r="F93" s="3">
        <v>359.9</v>
      </c>
      <c r="G93" s="25">
        <f t="shared" si="3"/>
        <v>-4.650000000000034</v>
      </c>
      <c r="H93" s="24">
        <f t="shared" si="4"/>
        <v>-0.012755451927033421</v>
      </c>
      <c r="I93" s="8">
        <f t="shared" si="7"/>
        <v>0.04537004763564542</v>
      </c>
    </row>
    <row r="94" spans="1:9" ht="18.75">
      <c r="A94" s="10" t="s">
        <v>190</v>
      </c>
      <c r="B94" s="7">
        <v>10.499471117663578</v>
      </c>
      <c r="C94" s="23">
        <f t="shared" si="0"/>
        <v>-0.04693063746138826</v>
      </c>
      <c r="D94" s="24">
        <f t="shared" si="11"/>
        <v>-0.00444991937070694</v>
      </c>
      <c r="E94" s="8">
        <f t="shared" si="6"/>
        <v>0.03669742994832544</v>
      </c>
      <c r="F94" s="3">
        <v>358.96</v>
      </c>
      <c r="G94" s="25">
        <f t="shared" si="3"/>
        <v>-0.9399999999999977</v>
      </c>
      <c r="H94" s="24">
        <f t="shared" si="4"/>
        <v>-0.0026118366212836835</v>
      </c>
      <c r="I94" s="8">
        <f t="shared" si="7"/>
        <v>0.042639711862437576</v>
      </c>
    </row>
    <row r="95" spans="1:9" ht="18.75">
      <c r="A95" s="10" t="s">
        <v>192</v>
      </c>
      <c r="B95" s="7">
        <v>10.43069566835159</v>
      </c>
      <c r="C95" s="23">
        <f t="shared" si="0"/>
        <v>-0.06877544931198898</v>
      </c>
      <c r="D95" s="24">
        <f t="shared" si="11"/>
        <v>-0.006550372732230861</v>
      </c>
      <c r="E95" s="8">
        <f t="shared" si="6"/>
        <v>0.029906675371618115</v>
      </c>
      <c r="F95" s="3">
        <v>358.48</v>
      </c>
      <c r="G95" s="25">
        <f t="shared" si="3"/>
        <v>-0.47999999999996135</v>
      </c>
      <c r="H95" s="24">
        <f t="shared" si="4"/>
        <v>-0.0013371963449965495</v>
      </c>
      <c r="I95" s="8">
        <f t="shared" si="7"/>
        <v>0.041245497850586864</v>
      </c>
    </row>
    <row r="96" spans="1:9" ht="18.75">
      <c r="A96" s="10" t="s">
        <v>193</v>
      </c>
      <c r="B96" s="7">
        <v>10.339429170176919</v>
      </c>
      <c r="C96" s="23">
        <f t="shared" si="0"/>
        <v>-0.09126649817467047</v>
      </c>
      <c r="D96" s="24">
        <f t="shared" si="11"/>
        <v>-0.008749799733069361</v>
      </c>
      <c r="E96" s="8">
        <f t="shared" si="6"/>
        <v>0.02089519821836518</v>
      </c>
      <c r="F96" s="3">
        <v>353.29</v>
      </c>
      <c r="G96" s="25">
        <f t="shared" si="3"/>
        <v>-5.189999999999998</v>
      </c>
      <c r="H96" s="24">
        <f t="shared" si="4"/>
        <v>-0.014477795135014498</v>
      </c>
      <c r="I96" s="8">
        <f t="shared" si="7"/>
        <v>0.02617055884744989</v>
      </c>
    </row>
    <row r="97" spans="1:9" ht="18.75">
      <c r="A97" s="10" t="s">
        <v>195</v>
      </c>
      <c r="B97" s="7">
        <v>10.285915901432183</v>
      </c>
      <c r="C97" s="23">
        <f t="shared" si="0"/>
        <v>-0.0535132687447355</v>
      </c>
      <c r="D97" s="24">
        <f t="shared" si="11"/>
        <v>-0.005175650208919592</v>
      </c>
      <c r="E97" s="8">
        <f t="shared" si="6"/>
        <v>0.015611401772421289</v>
      </c>
      <c r="F97" s="3">
        <v>350.98</v>
      </c>
      <c r="G97" s="25">
        <f t="shared" si="3"/>
        <v>-2.3100000000000023</v>
      </c>
      <c r="H97" s="24">
        <f t="shared" si="4"/>
        <v>-0.006538537745195172</v>
      </c>
      <c r="I97" s="8">
        <f t="shared" si="7"/>
        <v>0.019460903915417816</v>
      </c>
    </row>
    <row r="98" spans="1:9" ht="18.75">
      <c r="A98" s="10" t="s">
        <v>196</v>
      </c>
      <c r="B98" s="7">
        <v>10.285915901432183</v>
      </c>
      <c r="C98" s="23">
        <f t="shared" si="0"/>
        <v>0</v>
      </c>
      <c r="D98" s="24">
        <f t="shared" si="11"/>
        <v>0</v>
      </c>
      <c r="E98" s="8">
        <f t="shared" si="6"/>
        <v>0.015611401772421289</v>
      </c>
      <c r="F98" s="3">
        <v>352.44</v>
      </c>
      <c r="G98" s="25">
        <f t="shared" si="3"/>
        <v>1.4599999999999795</v>
      </c>
      <c r="H98" s="24">
        <f t="shared" si="4"/>
        <v>0.004159781184112996</v>
      </c>
      <c r="I98" s="8">
        <f t="shared" si="7"/>
        <v>0.023701638201464</v>
      </c>
    </row>
    <row r="99" spans="1:9" ht="18.75">
      <c r="A99" s="10" t="s">
        <v>197</v>
      </c>
      <c r="B99" s="7">
        <v>10.285839954935312</v>
      </c>
      <c r="C99" s="23">
        <f t="shared" si="0"/>
        <v>-7.59464968709267E-05</v>
      </c>
      <c r="D99" s="24">
        <f t="shared" si="11"/>
        <v>-7.38354246706918E-06</v>
      </c>
      <c r="E99" s="8">
        <f t="shared" si="6"/>
        <v>0.015603902962506262</v>
      </c>
      <c r="F99" s="3">
        <v>353.48</v>
      </c>
      <c r="G99" s="25">
        <f t="shared" si="3"/>
        <v>1.0400000000000205</v>
      </c>
      <c r="H99" s="24">
        <f t="shared" si="4"/>
        <v>0.002950856883441211</v>
      </c>
      <c r="I99" s="8">
        <f t="shared" si="7"/>
        <v>0.026722435227140833</v>
      </c>
    </row>
    <row r="100" spans="1:9" ht="18.75">
      <c r="A100" s="10" t="s">
        <v>198</v>
      </c>
      <c r="B100" s="7">
        <v>10.285839954935312</v>
      </c>
      <c r="C100" s="23">
        <f t="shared" si="0"/>
        <v>0</v>
      </c>
      <c r="D100" s="24">
        <f t="shared" si="11"/>
        <v>0</v>
      </c>
      <c r="E100" s="8">
        <f t="shared" si="6"/>
        <v>0.015603902962506262</v>
      </c>
      <c r="F100" s="3">
        <v>358.24</v>
      </c>
      <c r="G100" s="25">
        <f t="shared" si="3"/>
        <v>4.759999999999991</v>
      </c>
      <c r="H100" s="24">
        <f t="shared" si="4"/>
        <v>0.013466108407830685</v>
      </c>
      <c r="I100" s="8">
        <f t="shared" si="7"/>
        <v>0.04054839084466143</v>
      </c>
    </row>
    <row r="101" spans="1:9" ht="18.75">
      <c r="A101" s="10" t="s">
        <v>199</v>
      </c>
      <c r="B101" s="7">
        <v>10.2858399549353</v>
      </c>
      <c r="C101" s="23">
        <f t="shared" si="0"/>
        <v>0</v>
      </c>
      <c r="D101" s="24">
        <f t="shared" si="11"/>
        <v>0</v>
      </c>
      <c r="E101" s="8">
        <f t="shared" si="6"/>
        <v>0.015603902962505033</v>
      </c>
      <c r="F101" s="3">
        <v>354.61</v>
      </c>
      <c r="G101" s="25">
        <f t="shared" si="3"/>
        <v>-3.6299999999999955</v>
      </c>
      <c r="H101" s="24">
        <f t="shared" si="4"/>
        <v>-0.01013287181777578</v>
      </c>
      <c r="I101" s="8">
        <f t="shared" si="7"/>
        <v>0.030004647380039624</v>
      </c>
    </row>
    <row r="102" spans="1:9" ht="18.75">
      <c r="A102" s="10" t="s">
        <v>200</v>
      </c>
      <c r="B102" s="7">
        <v>10.2858399549353</v>
      </c>
      <c r="C102" s="23">
        <f t="shared" si="0"/>
        <v>0</v>
      </c>
      <c r="D102" s="24">
        <f t="shared" si="11"/>
        <v>0</v>
      </c>
      <c r="E102" s="8">
        <f t="shared" si="6"/>
        <v>0.015603902962505033</v>
      </c>
      <c r="F102" s="3">
        <v>362.85</v>
      </c>
      <c r="G102" s="25">
        <f t="shared" si="3"/>
        <v>8.240000000000009</v>
      </c>
      <c r="H102" s="24">
        <f t="shared" si="4"/>
        <v>0.023236795352640956</v>
      </c>
      <c r="I102" s="8">
        <f t="shared" si="7"/>
        <v>0.05393865458347871</v>
      </c>
    </row>
    <row r="103" spans="1:9" ht="18.75">
      <c r="A103" s="10" t="s">
        <v>201</v>
      </c>
      <c r="B103" s="7">
        <v>10.2858399549353</v>
      </c>
      <c r="C103" s="23">
        <f t="shared" si="0"/>
        <v>0</v>
      </c>
      <c r="D103" s="24">
        <f t="shared" si="11"/>
        <v>0</v>
      </c>
      <c r="E103" s="8">
        <f t="shared" si="6"/>
        <v>0.015603902962505033</v>
      </c>
      <c r="F103" s="3">
        <v>361.13</v>
      </c>
      <c r="G103" s="25">
        <f t="shared" si="3"/>
        <v>-1.7200000000000273</v>
      </c>
      <c r="H103" s="24">
        <f t="shared" si="4"/>
        <v>-0.004740250792338507</v>
      </c>
      <c r="I103" s="8">
        <f t="shared" si="7"/>
        <v>0.0489427210410132</v>
      </c>
    </row>
    <row r="104" spans="1:9" ht="18.75">
      <c r="A104" s="10" t="s">
        <v>204</v>
      </c>
      <c r="B104" s="7">
        <v>10.128492956825122</v>
      </c>
      <c r="C104" s="23">
        <f t="shared" si="0"/>
        <v>-0.15734699811017805</v>
      </c>
      <c r="D104" s="24">
        <f t="shared" si="11"/>
        <v>-0.015297437914604204</v>
      </c>
      <c r="E104" s="8">
        <f t="shared" si="6"/>
        <v>6.776531110640122E-05</v>
      </c>
      <c r="F104" s="3">
        <v>364.1</v>
      </c>
      <c r="G104" s="25">
        <f t="shared" si="3"/>
        <v>2.9700000000000273</v>
      </c>
      <c r="H104" s="24">
        <f t="shared" si="4"/>
        <v>0.008224185196466722</v>
      </c>
      <c r="I104" s="8">
        <f t="shared" si="7"/>
        <v>0.057569420239340224</v>
      </c>
    </row>
    <row r="105" spans="1:9" ht="18.75">
      <c r="A105" s="10" t="s">
        <v>207</v>
      </c>
      <c r="B105" s="7">
        <v>9.931459230992877</v>
      </c>
      <c r="C105" s="23">
        <f t="shared" si="0"/>
        <v>-0.1970337258322452</v>
      </c>
      <c r="D105" s="24">
        <f t="shared" si="11"/>
        <v>-0.01945340996653143</v>
      </c>
      <c r="E105" s="8">
        <f t="shared" si="6"/>
        <v>-0.019386962921803492</v>
      </c>
      <c r="F105" s="3">
        <v>363.62</v>
      </c>
      <c r="G105" s="25">
        <f t="shared" si="3"/>
        <v>-0.4800000000000182</v>
      </c>
      <c r="H105" s="24">
        <f t="shared" si="4"/>
        <v>-0.0013183191430926069</v>
      </c>
      <c r="I105" s="8">
        <f t="shared" si="7"/>
        <v>0.05617520622748935</v>
      </c>
    </row>
    <row r="106" spans="1:9" ht="18.75">
      <c r="A106" s="10" t="s">
        <v>210</v>
      </c>
      <c r="B106" s="7">
        <v>9.33887339002762</v>
      </c>
      <c r="C106" s="23">
        <f t="shared" si="0"/>
        <v>-0.5925858409652562</v>
      </c>
      <c r="D106" s="24">
        <f t="shared" si="11"/>
        <v>-0.05966755007320447</v>
      </c>
      <c r="E106" s="8">
        <f t="shared" si="6"/>
        <v>-0.0778977404141039</v>
      </c>
      <c r="F106" s="3">
        <v>361.28</v>
      </c>
      <c r="G106" s="25">
        <f aca="true" t="shared" si="12" ref="G106:G197">$F106-$F105</f>
        <v>-2.340000000000032</v>
      </c>
      <c r="H106" s="24">
        <f aca="true" t="shared" si="13" ref="H106:H197">$G106/$F105</f>
        <v>-0.006435289588031549</v>
      </c>
      <c r="I106" s="8">
        <f t="shared" si="7"/>
        <v>0.049378412919716515</v>
      </c>
    </row>
    <row r="107" spans="1:9" ht="18.75">
      <c r="A107" s="10" t="s">
        <v>212</v>
      </c>
      <c r="B107" s="7">
        <v>9.410437880964986</v>
      </c>
      <c r="C107" s="23">
        <f t="shared" si="0"/>
        <v>0.07156449093736583</v>
      </c>
      <c r="D107" s="24">
        <f t="shared" si="11"/>
        <v>0.007663075399842655</v>
      </c>
      <c r="E107" s="8">
        <f t="shared" si="6"/>
        <v>-0.0708316012725319</v>
      </c>
      <c r="F107" s="3">
        <v>363.74</v>
      </c>
      <c r="G107" s="25">
        <f t="shared" si="12"/>
        <v>2.4600000000000364</v>
      </c>
      <c r="H107" s="24">
        <f t="shared" si="13"/>
        <v>0.006809123117803467</v>
      </c>
      <c r="I107" s="8">
        <f t="shared" si="7"/>
        <v>0.05652375973045207</v>
      </c>
    </row>
    <row r="108" spans="1:9" ht="18.75">
      <c r="A108" s="10" t="s">
        <v>213</v>
      </c>
      <c r="B108" s="7">
        <v>9.514754601830145</v>
      </c>
      <c r="C108" s="23">
        <f aca="true" t="shared" si="14" ref="C108:C197">$B108-$B107</f>
        <v>0.10431672086515853</v>
      </c>
      <c r="D108" s="24">
        <f t="shared" si="11"/>
        <v>0.011085214331648236</v>
      </c>
      <c r="E108" s="8">
        <f t="shared" si="6"/>
        <v>-0.06053157042244352</v>
      </c>
      <c r="F108" s="3">
        <v>368.14</v>
      </c>
      <c r="G108" s="25">
        <f t="shared" si="12"/>
        <v>4.399999999999977</v>
      </c>
      <c r="H108" s="24">
        <f t="shared" si="13"/>
        <v>0.012096552482542412</v>
      </c>
      <c r="I108" s="8">
        <f t="shared" si="7"/>
        <v>0.06930405483908451</v>
      </c>
    </row>
    <row r="109" spans="1:9" ht="18.75">
      <c r="A109" s="10" t="s">
        <v>214</v>
      </c>
      <c r="B109" s="7">
        <v>9.514754601830145</v>
      </c>
      <c r="C109" s="23">
        <f t="shared" si="14"/>
        <v>0</v>
      </c>
      <c r="D109" s="24">
        <f t="shared" si="11"/>
        <v>0</v>
      </c>
      <c r="E109" s="8">
        <f t="shared" si="6"/>
        <v>-0.06053157042244352</v>
      </c>
      <c r="F109" s="3">
        <v>368.94</v>
      </c>
      <c r="G109" s="25">
        <f t="shared" si="12"/>
        <v>0.8000000000000114</v>
      </c>
      <c r="H109" s="24">
        <f t="shared" si="13"/>
        <v>0.0021730863258543256</v>
      </c>
      <c r="I109" s="8">
        <f t="shared" si="7"/>
        <v>0.07162774485883591</v>
      </c>
    </row>
    <row r="110" spans="1:9" ht="18.75">
      <c r="A110" s="10" t="s">
        <v>216</v>
      </c>
      <c r="B110" s="7">
        <v>9.514754601830145</v>
      </c>
      <c r="C110" s="23">
        <f t="shared" si="14"/>
        <v>0</v>
      </c>
      <c r="D110" s="24">
        <f t="shared" si="11"/>
        <v>0</v>
      </c>
      <c r="E110" s="8">
        <f t="shared" si="6"/>
        <v>-0.06053157042244352</v>
      </c>
      <c r="F110" s="3">
        <v>369.53</v>
      </c>
      <c r="G110" s="25">
        <f t="shared" si="12"/>
        <v>0.589999999999975</v>
      </c>
      <c r="H110" s="24">
        <f t="shared" si="13"/>
        <v>0.001599176017780601</v>
      </c>
      <c r="I110" s="8">
        <f t="shared" si="7"/>
        <v>0.07334146624840247</v>
      </c>
    </row>
    <row r="111" spans="1:9" ht="18.75">
      <c r="A111" s="10" t="s">
        <v>217</v>
      </c>
      <c r="B111" s="7">
        <v>8.782665363381986</v>
      </c>
      <c r="C111" s="23">
        <f t="shared" si="14"/>
        <v>-0.7320892384481592</v>
      </c>
      <c r="D111" s="24">
        <f t="shared" si="11"/>
        <v>-0.07694252443540091</v>
      </c>
      <c r="E111" s="8">
        <f t="shared" si="6"/>
        <v>-0.13281664302150237</v>
      </c>
      <c r="F111" s="3">
        <v>364.55</v>
      </c>
      <c r="G111" s="25">
        <f t="shared" si="12"/>
        <v>-4.979999999999961</v>
      </c>
      <c r="H111" s="24">
        <f t="shared" si="13"/>
        <v>-0.01347657835629032</v>
      </c>
      <c r="I111" s="8">
        <f t="shared" si="7"/>
        <v>0.05887649587545033</v>
      </c>
    </row>
    <row r="112" spans="1:9" ht="18.75">
      <c r="A112" s="10" t="s">
        <v>218</v>
      </c>
      <c r="B112" s="7">
        <v>8.930135680254102</v>
      </c>
      <c r="C112" s="23">
        <f t="shared" si="14"/>
        <v>0.1474703168721163</v>
      </c>
      <c r="D112" s="24">
        <f t="shared" si="11"/>
        <v>0.016791066352928784</v>
      </c>
      <c r="E112" s="8">
        <f t="shared" si="6"/>
        <v>-0.1182557097343209</v>
      </c>
      <c r="F112" s="3">
        <v>362.22</v>
      </c>
      <c r="G112" s="25">
        <f t="shared" si="12"/>
        <v>-2.329999999999984</v>
      </c>
      <c r="H112" s="24">
        <f t="shared" si="13"/>
        <v>-0.006391441503223108</v>
      </c>
      <c r="I112" s="8">
        <f t="shared" si="7"/>
        <v>0.05210874869292453</v>
      </c>
    </row>
    <row r="113" spans="1:9" ht="18.75">
      <c r="A113" s="10" t="s">
        <v>220</v>
      </c>
      <c r="B113" s="7">
        <v>9.222128609241473</v>
      </c>
      <c r="C113" s="23">
        <f t="shared" si="14"/>
        <v>0.29199292898737106</v>
      </c>
      <c r="D113" s="24">
        <f t="shared" si="11"/>
        <v>0.032697479572792176</v>
      </c>
      <c r="E113" s="8">
        <f t="shared" si="6"/>
        <v>-0.08942489381493272</v>
      </c>
      <c r="F113" s="3">
        <v>363.02</v>
      </c>
      <c r="G113" s="25">
        <f t="shared" si="12"/>
        <v>0.7999999999999545</v>
      </c>
      <c r="H113" s="24">
        <f t="shared" si="13"/>
        <v>0.0022086025067637196</v>
      </c>
      <c r="I113" s="8">
        <f t="shared" si="7"/>
        <v>0.05443243871267576</v>
      </c>
    </row>
    <row r="114" spans="1:9" ht="18.75">
      <c r="A114" s="10" t="s">
        <v>221</v>
      </c>
      <c r="B114" s="7">
        <v>9.286410542237011</v>
      </c>
      <c r="C114" s="23">
        <f t="shared" si="14"/>
        <v>0.06428193299553797</v>
      </c>
      <c r="D114" s="24">
        <f t="shared" si="11"/>
        <v>0.00697040083903419</v>
      </c>
      <c r="E114" s="8">
        <f t="shared" si="6"/>
        <v>-0.08307782033077668</v>
      </c>
      <c r="F114" s="3">
        <v>365.12</v>
      </c>
      <c r="G114" s="25">
        <f t="shared" si="12"/>
        <v>2.1000000000000227</v>
      </c>
      <c r="H114" s="24">
        <f t="shared" si="13"/>
        <v>0.005784805244890151</v>
      </c>
      <c r="I114" s="8">
        <f t="shared" si="7"/>
        <v>0.06053212501452316</v>
      </c>
    </row>
    <row r="115" spans="1:9" ht="18.75">
      <c r="A115" s="10" t="s">
        <v>223</v>
      </c>
      <c r="B115" s="7">
        <v>9.429054647205627</v>
      </c>
      <c r="C115" s="23">
        <f t="shared" si="14"/>
        <v>0.1426441049686158</v>
      </c>
      <c r="D115" s="24">
        <f t="shared" si="11"/>
        <v>0.015360521088297066</v>
      </c>
      <c r="E115" s="8">
        <f t="shared" si="6"/>
        <v>-0.06899341785364026</v>
      </c>
      <c r="F115" s="3">
        <v>371.93</v>
      </c>
      <c r="G115" s="25">
        <f t="shared" si="12"/>
        <v>6.810000000000002</v>
      </c>
      <c r="H115" s="24">
        <f t="shared" si="13"/>
        <v>0.0186514022787029</v>
      </c>
      <c r="I115" s="8">
        <f t="shared" si="7"/>
        <v>0.08031253630765667</v>
      </c>
    </row>
    <row r="116" spans="1:9" ht="18.75">
      <c r="A116" s="10" t="s">
        <v>225</v>
      </c>
      <c r="B116" s="7">
        <v>9.358836088633442</v>
      </c>
      <c r="C116" s="23">
        <f t="shared" si="14"/>
        <v>-0.07021855857218462</v>
      </c>
      <c r="D116" s="24">
        <f t="shared" si="11"/>
        <v>-0.0074470412145712225</v>
      </c>
      <c r="E116" s="8">
        <f t="shared" si="6"/>
        <v>-0.0759266622419213</v>
      </c>
      <c r="F116" s="3">
        <v>375.82</v>
      </c>
      <c r="G116" s="25">
        <f t="shared" si="12"/>
        <v>3.8899999999999864</v>
      </c>
      <c r="H116" s="24">
        <f t="shared" si="13"/>
        <v>0.010458957330680467</v>
      </c>
      <c r="I116" s="8">
        <f t="shared" si="7"/>
        <v>0.09161147902869764</v>
      </c>
    </row>
    <row r="117" spans="1:9" ht="18.75">
      <c r="A117" s="10" t="s">
        <v>228</v>
      </c>
      <c r="B117" s="7">
        <v>9.326672576197389</v>
      </c>
      <c r="C117" s="23">
        <f t="shared" si="14"/>
        <v>-0.03216351243605331</v>
      </c>
      <c r="D117" s="24">
        <f t="shared" si="11"/>
        <v>-0.0034367000481092687</v>
      </c>
      <c r="E117" s="8">
        <f t="shared" si="6"/>
        <v>-0.07910242512625097</v>
      </c>
      <c r="F117" s="3">
        <v>376.2</v>
      </c>
      <c r="G117" s="25">
        <f t="shared" si="12"/>
        <v>0.37999999999999545</v>
      </c>
      <c r="H117" s="24">
        <f t="shared" si="13"/>
        <v>0.0010111223458038302</v>
      </c>
      <c r="I117" s="8">
        <f t="shared" si="7"/>
        <v>0.09271523178807953</v>
      </c>
    </row>
    <row r="118" spans="1:9" ht="18.75">
      <c r="A118" s="10" t="s">
        <v>229</v>
      </c>
      <c r="B118" s="7">
        <v>9.326672576197389</v>
      </c>
      <c r="C118" s="23">
        <f t="shared" si="14"/>
        <v>0</v>
      </c>
      <c r="D118" s="24">
        <f t="shared" si="11"/>
        <v>0</v>
      </c>
      <c r="E118" s="8">
        <f t="shared" si="6"/>
        <v>-0.07910242512625097</v>
      </c>
      <c r="F118" s="3">
        <v>375.02</v>
      </c>
      <c r="G118" s="25">
        <f t="shared" si="12"/>
        <v>-1.1800000000000068</v>
      </c>
      <c r="H118" s="24">
        <f t="shared" si="13"/>
        <v>-0.0031366294524189445</v>
      </c>
      <c r="I118" s="8">
        <f t="shared" si="7"/>
        <v>0.08928778900894624</v>
      </c>
    </row>
    <row r="119" spans="1:9" ht="18.75">
      <c r="A119" s="10" t="s">
        <v>230</v>
      </c>
      <c r="B119" s="7">
        <v>9.326672576197389</v>
      </c>
      <c r="C119" s="23">
        <f t="shared" si="14"/>
        <v>0</v>
      </c>
      <c r="D119" s="24">
        <f t="shared" si="11"/>
        <v>0</v>
      </c>
      <c r="E119" s="8">
        <f t="shared" si="6"/>
        <v>-0.07910242512625097</v>
      </c>
      <c r="F119" s="3">
        <v>383.36</v>
      </c>
      <c r="G119" s="25">
        <f t="shared" si="12"/>
        <v>8.340000000000032</v>
      </c>
      <c r="H119" s="24">
        <f t="shared" si="13"/>
        <v>0.022238813929923825</v>
      </c>
      <c r="I119" s="8">
        <f t="shared" si="7"/>
        <v>0.11351225746485431</v>
      </c>
    </row>
    <row r="120" spans="1:9" ht="18.75">
      <c r="A120" s="10" t="s">
        <v>231</v>
      </c>
      <c r="B120" s="7">
        <v>9.402869963715531</v>
      </c>
      <c r="C120" s="23">
        <f t="shared" si="14"/>
        <v>0.07619738751814253</v>
      </c>
      <c r="D120" s="24">
        <f t="shared" si="11"/>
        <v>0.008169836229976163</v>
      </c>
      <c r="E120" s="8">
        <f t="shared" si="6"/>
        <v>-0.07157884275495023</v>
      </c>
      <c r="F120" s="3">
        <v>386.54</v>
      </c>
      <c r="G120" s="25">
        <f t="shared" si="12"/>
        <v>3.180000000000007</v>
      </c>
      <c r="H120" s="24">
        <f t="shared" si="13"/>
        <v>0.008295075125208698</v>
      </c>
      <c r="I120" s="8">
        <f t="shared" si="7"/>
        <v>0.122748925293366</v>
      </c>
    </row>
    <row r="121" spans="1:9" ht="18.75">
      <c r="A121" s="10" t="s">
        <v>232</v>
      </c>
      <c r="B121" s="7">
        <v>9.304901894049348</v>
      </c>
      <c r="C121" s="23">
        <f t="shared" si="14"/>
        <v>-0.09796806966618377</v>
      </c>
      <c r="D121" s="24">
        <f t="shared" si="11"/>
        <v>-0.010418954004918709</v>
      </c>
      <c r="E121" s="8">
        <f t="shared" si="6"/>
        <v>-0.0812520200894798</v>
      </c>
      <c r="F121" s="3">
        <v>384.63</v>
      </c>
      <c r="G121" s="25">
        <f t="shared" si="12"/>
        <v>-1.910000000000025</v>
      </c>
      <c r="H121" s="24">
        <f t="shared" si="13"/>
        <v>-0.004941273865576719</v>
      </c>
      <c r="I121" s="8">
        <f t="shared" si="7"/>
        <v>0.11720111537120956</v>
      </c>
    </row>
    <row r="122" spans="1:9" ht="18.75">
      <c r="A122" s="10" t="s">
        <v>233</v>
      </c>
      <c r="B122" s="7">
        <v>9.250475188679246</v>
      </c>
      <c r="C122" s="23">
        <f t="shared" si="14"/>
        <v>-0.0544267053701013</v>
      </c>
      <c r="D122" s="24">
        <f t="shared" si="11"/>
        <v>-0.005849250856143702</v>
      </c>
      <c r="E122" s="8">
        <f t="shared" si="6"/>
        <v>-0.08662600749755171</v>
      </c>
      <c r="F122" s="3">
        <v>384.5</v>
      </c>
      <c r="G122" s="25">
        <f t="shared" si="12"/>
        <v>-0.12999999999999545</v>
      </c>
      <c r="H122" s="24">
        <f t="shared" si="13"/>
        <v>-0.00033798715648804164</v>
      </c>
      <c r="I122" s="8">
        <f t="shared" si="7"/>
        <v>0.11682351574299997</v>
      </c>
    </row>
    <row r="123" spans="1:9" ht="18.75">
      <c r="A123" s="10" t="s">
        <v>234</v>
      </c>
      <c r="B123" s="7">
        <v>9.208113069666185</v>
      </c>
      <c r="C123" s="23">
        <f t="shared" si="14"/>
        <v>-0.04236211901306142</v>
      </c>
      <c r="D123" s="24">
        <f t="shared" si="11"/>
        <v>-0.004579453287427254</v>
      </c>
      <c r="E123" s="8">
        <f t="shared" si="6"/>
        <v>-0.0908087610301676</v>
      </c>
      <c r="F123" s="3">
        <v>385.5</v>
      </c>
      <c r="G123" s="25">
        <f t="shared" si="12"/>
        <v>1</v>
      </c>
      <c r="H123" s="24">
        <f t="shared" si="13"/>
        <v>0.002600780234070221</v>
      </c>
      <c r="I123" s="8">
        <f t="shared" si="7"/>
        <v>0.11972812826768918</v>
      </c>
    </row>
    <row r="124" spans="1:9" ht="18.75">
      <c r="A124" s="10" t="s">
        <v>235</v>
      </c>
      <c r="B124" s="7">
        <v>9.171828599419449</v>
      </c>
      <c r="C124" s="23">
        <f t="shared" si="14"/>
        <v>-0.03628447024673598</v>
      </c>
      <c r="D124" s="24">
        <f t="shared" si="11"/>
        <v>-0.003940489215566439</v>
      </c>
      <c r="E124" s="8">
        <f t="shared" si="6"/>
        <v>-0.09439141930221571</v>
      </c>
      <c r="F124" s="3">
        <v>378.97</v>
      </c>
      <c r="G124" s="25">
        <f t="shared" si="12"/>
        <v>-6.529999999999973</v>
      </c>
      <c r="H124" s="24">
        <f t="shared" si="13"/>
        <v>-0.016939040207522627</v>
      </c>
      <c r="I124" s="8">
        <f t="shared" si="7"/>
        <v>0.10076100848146874</v>
      </c>
    </row>
    <row r="125" spans="1:9" ht="18.75">
      <c r="A125" s="10" t="s">
        <v>237</v>
      </c>
      <c r="B125" s="7">
        <v>9.20127997822932</v>
      </c>
      <c r="C125" s="23">
        <f t="shared" si="14"/>
        <v>0.029451378809870477</v>
      </c>
      <c r="D125" s="24">
        <f t="shared" si="11"/>
        <v>0.0032110694711122998</v>
      </c>
      <c r="E125" s="8">
        <f t="shared" si="6"/>
        <v>-0.09148344723595972</v>
      </c>
      <c r="F125" s="3">
        <v>375.39</v>
      </c>
      <c r="G125" s="25">
        <f t="shared" si="12"/>
        <v>-3.580000000000041</v>
      </c>
      <c r="H125" s="24">
        <f t="shared" si="13"/>
        <v>-0.009446658046811201</v>
      </c>
      <c r="I125" s="8">
        <f t="shared" si="7"/>
        <v>0.09036249564308126</v>
      </c>
    </row>
    <row r="126" spans="1:9" ht="18.75">
      <c r="A126" s="10" t="s">
        <v>239</v>
      </c>
      <c r="B126" s="7">
        <v>9.155137457843065</v>
      </c>
      <c r="C126" s="23">
        <f t="shared" si="14"/>
        <v>-0.04614252038625466</v>
      </c>
      <c r="D126" s="24">
        <f t="shared" si="11"/>
        <v>-0.0050147936477783666</v>
      </c>
      <c r="E126" s="8">
        <f t="shared" si="6"/>
        <v>-0.09603947027366233</v>
      </c>
      <c r="F126" s="3">
        <v>369.71</v>
      </c>
      <c r="G126" s="25">
        <f t="shared" si="12"/>
        <v>-5.680000000000007</v>
      </c>
      <c r="H126" s="24">
        <f t="shared" si="13"/>
        <v>-0.01513093049894778</v>
      </c>
      <c r="I126" s="8">
        <f t="shared" si="7"/>
        <v>0.07386429650284655</v>
      </c>
    </row>
    <row r="127" spans="1:9" ht="18.75">
      <c r="A127" s="10" t="s">
        <v>240</v>
      </c>
      <c r="B127" s="7">
        <v>9.042718961253092</v>
      </c>
      <c r="C127" s="23">
        <f t="shared" si="14"/>
        <v>-0.1124184965899726</v>
      </c>
      <c r="D127" s="24">
        <f t="shared" si="11"/>
        <v>-0.012279280033492606</v>
      </c>
      <c r="E127" s="8">
        <f t="shared" si="6"/>
        <v>-0.10713945475739635</v>
      </c>
      <c r="F127" s="3">
        <v>368.53</v>
      </c>
      <c r="G127" s="25">
        <f t="shared" si="12"/>
        <v>-1.1800000000000068</v>
      </c>
      <c r="H127" s="24">
        <f t="shared" si="13"/>
        <v>-0.0031916907846690837</v>
      </c>
      <c r="I127" s="8">
        <f t="shared" si="7"/>
        <v>0.07043685372371326</v>
      </c>
    </row>
    <row r="128" spans="1:9" ht="18.75">
      <c r="A128" s="10" t="s">
        <v>248</v>
      </c>
      <c r="B128" s="7">
        <v>8.993741969572062</v>
      </c>
      <c r="C128" s="23">
        <f t="shared" si="14"/>
        <v>-0.04897699168103031</v>
      </c>
      <c r="D128" s="24">
        <f t="shared" si="11"/>
        <v>-0.005416179789606482</v>
      </c>
      <c r="E128" s="8">
        <f t="shared" si="6"/>
        <v>-0.11197534799747637</v>
      </c>
      <c r="F128" s="3">
        <v>368.85</v>
      </c>
      <c r="G128" s="25">
        <f t="shared" si="12"/>
        <v>0.32000000000005</v>
      </c>
      <c r="H128" s="24">
        <f t="shared" si="13"/>
        <v>0.000868314655523431</v>
      </c>
      <c r="I128" s="8">
        <f t="shared" si="7"/>
        <v>0.07136632973161396</v>
      </c>
    </row>
    <row r="129" spans="1:9" ht="18.75">
      <c r="A129" s="10" t="s">
        <v>249</v>
      </c>
      <c r="B129" s="7">
        <v>9.147200786929478</v>
      </c>
      <c r="C129" s="23">
        <f t="shared" si="14"/>
        <v>0.15345881735741607</v>
      </c>
      <c r="D129" s="24">
        <f t="shared" si="11"/>
        <v>0.017062844128350938</v>
      </c>
      <c r="E129" s="8">
        <f t="shared" si="6"/>
        <v>-0.09682312177822422</v>
      </c>
      <c r="F129" s="3">
        <v>372.97</v>
      </c>
      <c r="G129" s="25">
        <f t="shared" si="12"/>
        <v>4.1200000000000045</v>
      </c>
      <c r="H129" s="24">
        <f t="shared" si="13"/>
        <v>0.011169852243459413</v>
      </c>
      <c r="I129" s="8">
        <f t="shared" si="7"/>
        <v>0.0833333333333335</v>
      </c>
    </row>
    <row r="130" spans="1:9" ht="18.75">
      <c r="A130" s="10" t="s">
        <v>250</v>
      </c>
      <c r="B130" s="7">
        <v>9.257552656823805</v>
      </c>
      <c r="C130" s="23">
        <f t="shared" si="14"/>
        <v>0.11035186989432688</v>
      </c>
      <c r="D130" s="24">
        <f t="shared" si="11"/>
        <v>0.012064004329281775</v>
      </c>
      <c r="E130" s="8">
        <f t="shared" si="6"/>
        <v>-0.08592719200924952</v>
      </c>
      <c r="F130" s="3">
        <v>374.63</v>
      </c>
      <c r="G130" s="25">
        <f t="shared" si="12"/>
        <v>1.6599999999999682</v>
      </c>
      <c r="H130" s="24">
        <f t="shared" si="13"/>
        <v>0.004450760114754452</v>
      </c>
      <c r="I130" s="8">
        <f t="shared" si="7"/>
        <v>0.08815499012431749</v>
      </c>
    </row>
    <row r="131" spans="1:9" ht="18.75">
      <c r="A131" s="10" t="s">
        <v>253</v>
      </c>
      <c r="B131" s="7">
        <v>9.28730301281571</v>
      </c>
      <c r="C131" s="23">
        <f t="shared" si="14"/>
        <v>0.02975035599190612</v>
      </c>
      <c r="D131" s="24">
        <f t="shared" si="11"/>
        <v>0.0032136307612549123</v>
      </c>
      <c r="E131" s="8">
        <f t="shared" si="6"/>
        <v>-0.08298969951546378</v>
      </c>
      <c r="F131" s="3">
        <v>375.24</v>
      </c>
      <c r="G131" s="25">
        <f t="shared" si="12"/>
        <v>0.6100000000000136</v>
      </c>
      <c r="H131" s="24">
        <f t="shared" si="13"/>
        <v>0.0016282732295865617</v>
      </c>
      <c r="I131" s="8">
        <f t="shared" si="7"/>
        <v>0.08992680376437795</v>
      </c>
    </row>
    <row r="132" spans="1:9" ht="18.75">
      <c r="A132" s="10" t="s">
        <v>255</v>
      </c>
      <c r="B132" s="7">
        <v>9.360141954582929</v>
      </c>
      <c r="C132" s="23">
        <f t="shared" si="14"/>
        <v>0.07283894176721795</v>
      </c>
      <c r="D132" s="24">
        <f t="shared" si="11"/>
        <v>0.00784285186632828</v>
      </c>
      <c r="E132" s="8">
        <f aca="true" t="shared" si="15" ref="E132:E175">(B132-$B$3)/$B$3</f>
        <v>-0.07579772356886638</v>
      </c>
      <c r="F132" s="3">
        <v>380.05</v>
      </c>
      <c r="G132" s="25">
        <f t="shared" si="12"/>
        <v>4.810000000000002</v>
      </c>
      <c r="H132" s="24">
        <f t="shared" si="13"/>
        <v>0.01281846285044239</v>
      </c>
      <c r="I132" s="8">
        <f aca="true" t="shared" si="16" ref="I132:I175">(F132-$F$3)/$F$3</f>
        <v>0.10389799000813303</v>
      </c>
    </row>
    <row r="133" spans="1:9" ht="18.75">
      <c r="A133" s="10" t="s">
        <v>260</v>
      </c>
      <c r="B133" s="7">
        <v>9.39012149441655</v>
      </c>
      <c r="C133" s="23">
        <f t="shared" si="14"/>
        <v>0.02997953983362045</v>
      </c>
      <c r="D133" s="24">
        <f t="shared" si="11"/>
        <v>0.0032028937145490424</v>
      </c>
      <c r="E133" s="8">
        <f t="shared" si="15"/>
        <v>-0.07283760190671319</v>
      </c>
      <c r="F133" s="3">
        <v>379.45</v>
      </c>
      <c r="G133" s="25">
        <f t="shared" si="12"/>
        <v>-0.6000000000000227</v>
      </c>
      <c r="H133" s="24">
        <f t="shared" si="13"/>
        <v>-0.0015787396395211754</v>
      </c>
      <c r="I133" s="8">
        <f t="shared" si="16"/>
        <v>0.10215522249331944</v>
      </c>
    </row>
    <row r="134" spans="1:9" ht="18.75">
      <c r="A134" s="10" t="s">
        <v>262</v>
      </c>
      <c r="B134" s="7">
        <v>9.357373236903246</v>
      </c>
      <c r="C134" s="23">
        <f t="shared" si="14"/>
        <v>-0.0327482575133029</v>
      </c>
      <c r="D134" s="24">
        <f t="shared" si="11"/>
        <v>-0.003487522236296443</v>
      </c>
      <c r="E134" s="8">
        <f t="shared" si="15"/>
        <v>-0.07607110138672146</v>
      </c>
      <c r="F134" s="3">
        <v>378.2</v>
      </c>
      <c r="G134" s="25">
        <f t="shared" si="12"/>
        <v>-1.25</v>
      </c>
      <c r="H134" s="24">
        <f t="shared" si="13"/>
        <v>-0.003294241665568586</v>
      </c>
      <c r="I134" s="8">
        <f t="shared" si="16"/>
        <v>0.09852445683745793</v>
      </c>
    </row>
    <row r="135" spans="1:9" ht="18.75">
      <c r="A135" s="10" t="s">
        <v>264</v>
      </c>
      <c r="B135" s="7">
        <v>9.384295522798176</v>
      </c>
      <c r="C135" s="23">
        <f t="shared" si="14"/>
        <v>0.026922285894929843</v>
      </c>
      <c r="D135" s="24">
        <f t="shared" si="11"/>
        <v>0.00287712002218259</v>
      </c>
      <c r="E135" s="8">
        <f t="shared" si="15"/>
        <v>-0.0734128470534481</v>
      </c>
      <c r="F135" s="3">
        <v>384.32</v>
      </c>
      <c r="G135" s="25">
        <f t="shared" si="12"/>
        <v>6.1200000000000045</v>
      </c>
      <c r="H135" s="24">
        <f t="shared" si="13"/>
        <v>0.01618191433104179</v>
      </c>
      <c r="I135" s="8">
        <f t="shared" si="16"/>
        <v>0.11630068548855589</v>
      </c>
    </row>
    <row r="136" spans="1:9" ht="18.75">
      <c r="A136" s="10" t="s">
        <v>265</v>
      </c>
      <c r="B136" s="7">
        <v>9.325072725733571</v>
      </c>
      <c r="C136" s="23">
        <f t="shared" si="14"/>
        <v>-0.05922279706460465</v>
      </c>
      <c r="D136" s="24">
        <f t="shared" si="11"/>
        <v>-0.0063108410131297536</v>
      </c>
      <c r="E136" s="8">
        <f t="shared" si="15"/>
        <v>-0.07926039126050233</v>
      </c>
      <c r="F136" s="3">
        <v>383.49</v>
      </c>
      <c r="G136" s="25">
        <f t="shared" si="12"/>
        <v>-0.8299999999999841</v>
      </c>
      <c r="H136" s="24">
        <f t="shared" si="13"/>
        <v>-0.002159658617818443</v>
      </c>
      <c r="I136" s="8">
        <f t="shared" si="16"/>
        <v>0.1138898570930639</v>
      </c>
    </row>
    <row r="137" spans="1:9" ht="18.75">
      <c r="A137" s="10" t="s">
        <v>267</v>
      </c>
      <c r="B137" s="7">
        <v>9.30425627685322</v>
      </c>
      <c r="C137" s="23">
        <f t="shared" si="14"/>
        <v>-0.0208164488803515</v>
      </c>
      <c r="D137" s="24">
        <f t="shared" si="11"/>
        <v>-0.00223230954788226</v>
      </c>
      <c r="E137" s="8">
        <f t="shared" si="15"/>
        <v>-0.08131576708020488</v>
      </c>
      <c r="F137" s="3">
        <v>386.79</v>
      </c>
      <c r="G137" s="25">
        <f t="shared" si="12"/>
        <v>3.3000000000000114</v>
      </c>
      <c r="H137" s="24">
        <f t="shared" si="13"/>
        <v>0.0086051787530314</v>
      </c>
      <c r="I137" s="8">
        <f t="shared" si="16"/>
        <v>0.12347507842453831</v>
      </c>
    </row>
    <row r="138" spans="1:9" ht="18.75">
      <c r="A138" s="10" t="s">
        <v>269</v>
      </c>
      <c r="B138" s="7">
        <v>9.33245389156573</v>
      </c>
      <c r="C138" s="23">
        <f t="shared" si="14"/>
        <v>0.0281976147125107</v>
      </c>
      <c r="D138" s="24">
        <f t="shared" si="11"/>
        <v>0.0030306145782613134</v>
      </c>
      <c r="E138" s="8">
        <f t="shared" si="15"/>
        <v>-0.07853158925109933</v>
      </c>
      <c r="F138" s="3">
        <v>385.22</v>
      </c>
      <c r="G138" s="25">
        <f t="shared" si="12"/>
        <v>-1.5699999999999932</v>
      </c>
      <c r="H138" s="24">
        <f t="shared" si="13"/>
        <v>-0.004059050130561786</v>
      </c>
      <c r="I138" s="8">
        <f t="shared" si="16"/>
        <v>0.11891483676077629</v>
      </c>
    </row>
    <row r="139" spans="1:9" ht="18.75">
      <c r="A139" s="10" t="s">
        <v>270</v>
      </c>
      <c r="B139" s="7">
        <v>9.083350386630844</v>
      </c>
      <c r="C139" s="23">
        <f t="shared" si="14"/>
        <v>-0.24910350493488664</v>
      </c>
      <c r="D139" s="24">
        <f t="shared" si="11"/>
        <v>-0.02669217633745993</v>
      </c>
      <c r="E139" s="8">
        <f t="shared" si="15"/>
        <v>-0.10312758656020796</v>
      </c>
      <c r="F139" s="3">
        <v>383</v>
      </c>
      <c r="G139" s="25">
        <f t="shared" si="12"/>
        <v>-2.2200000000000273</v>
      </c>
      <c r="H139" s="24">
        <f t="shared" si="13"/>
        <v>-0.0057629406572868155</v>
      </c>
      <c r="I139" s="8">
        <f t="shared" si="16"/>
        <v>0.11246659695596616</v>
      </c>
    </row>
    <row r="140" spans="1:9" ht="18.75">
      <c r="A140" s="10" t="s">
        <v>271</v>
      </c>
      <c r="B140" s="7">
        <v>8.898083991595707</v>
      </c>
      <c r="C140" s="23">
        <f t="shared" si="14"/>
        <v>-0.18526639503513742</v>
      </c>
      <c r="D140" s="24">
        <f t="shared" si="11"/>
        <v>-0.020396262078342615</v>
      </c>
      <c r="E140" s="8">
        <f t="shared" si="15"/>
        <v>-0.1214204313555616</v>
      </c>
      <c r="F140" s="3">
        <v>379.03</v>
      </c>
      <c r="G140" s="25">
        <f t="shared" si="12"/>
        <v>-3.9700000000000273</v>
      </c>
      <c r="H140" s="24">
        <f t="shared" si="13"/>
        <v>-0.010365535248041846</v>
      </c>
      <c r="I140" s="8">
        <f t="shared" si="16"/>
        <v>0.10093528523294994</v>
      </c>
    </row>
    <row r="141" spans="1:9" ht="18.75">
      <c r="A141" s="10" t="s">
        <v>272</v>
      </c>
      <c r="B141" s="7">
        <v>8.960533338236765</v>
      </c>
      <c r="C141" s="23">
        <f t="shared" si="14"/>
        <v>0.06244934664105806</v>
      </c>
      <c r="D141" s="24">
        <f t="shared" si="11"/>
        <v>0.007018291432182685</v>
      </c>
      <c r="E141" s="8">
        <f t="shared" si="15"/>
        <v>-0.11525430389645358</v>
      </c>
      <c r="F141" s="3">
        <v>382.97</v>
      </c>
      <c r="G141" s="25">
        <f t="shared" si="12"/>
        <v>3.9400000000000546</v>
      </c>
      <c r="H141" s="24">
        <f t="shared" si="13"/>
        <v>0.010394955544416154</v>
      </c>
      <c r="I141" s="8">
        <f t="shared" si="16"/>
        <v>0.11237945858022556</v>
      </c>
    </row>
    <row r="142" spans="1:9" ht="18.75">
      <c r="A142" s="10" t="s">
        <v>273</v>
      </c>
      <c r="B142" s="7">
        <v>8.981349787117116</v>
      </c>
      <c r="C142" s="23">
        <f t="shared" si="14"/>
        <v>0.0208164488803515</v>
      </c>
      <c r="D142" s="24">
        <f t="shared" si="11"/>
        <v>0.0023231261013808937</v>
      </c>
      <c r="E142" s="8">
        <f t="shared" si="15"/>
        <v>-0.11319892807675103</v>
      </c>
      <c r="F142" s="3">
        <v>387.37</v>
      </c>
      <c r="G142" s="25">
        <f t="shared" si="12"/>
        <v>4.399999999999977</v>
      </c>
      <c r="H142" s="24">
        <f t="shared" si="13"/>
        <v>0.011489150586207737</v>
      </c>
      <c r="I142" s="8">
        <f t="shared" si="16"/>
        <v>0.125159753688858</v>
      </c>
    </row>
    <row r="143" spans="1:9" ht="18.75">
      <c r="A143" s="10" t="s">
        <v>274</v>
      </c>
      <c r="B143" s="7">
        <v>9.032003146059308</v>
      </c>
      <c r="C143" s="23">
        <f t="shared" si="14"/>
        <v>0.05065335894219203</v>
      </c>
      <c r="D143" s="24">
        <f t="shared" si="11"/>
        <v>0.005639838124871766</v>
      </c>
      <c r="E143" s="8">
        <f t="shared" si="15"/>
        <v>-0.10819751358214114</v>
      </c>
      <c r="F143" s="3">
        <v>388.62</v>
      </c>
      <c r="G143" s="25">
        <f t="shared" si="12"/>
        <v>1.25</v>
      </c>
      <c r="H143" s="24">
        <f t="shared" si="13"/>
        <v>0.0032268890208327953</v>
      </c>
      <c r="I143" s="8">
        <f t="shared" si="16"/>
        <v>0.12879051934471952</v>
      </c>
    </row>
    <row r="144" spans="1:9" ht="18.75">
      <c r="A144" s="10" t="s">
        <v>276</v>
      </c>
      <c r="B144" s="7">
        <v>9.038488954792225</v>
      </c>
      <c r="C144" s="23">
        <f t="shared" si="14"/>
        <v>0.006485808732916709</v>
      </c>
      <c r="D144" s="24">
        <f t="shared" si="11"/>
        <v>0.0007180919479358783</v>
      </c>
      <c r="E144" s="8">
        <f t="shared" si="15"/>
        <v>-0.10755711739749528</v>
      </c>
      <c r="F144" s="3">
        <v>395.52</v>
      </c>
      <c r="G144" s="25">
        <f t="shared" si="12"/>
        <v>6.899999999999977</v>
      </c>
      <c r="H144" s="24">
        <f t="shared" si="13"/>
        <v>0.017755133549482726</v>
      </c>
      <c r="I144" s="8">
        <f t="shared" si="16"/>
        <v>0.14883234576507498</v>
      </c>
    </row>
    <row r="145" spans="1:9" ht="18.75">
      <c r="A145" s="10" t="s">
        <v>277</v>
      </c>
      <c r="B145" s="7">
        <v>8.933712828761116</v>
      </c>
      <c r="C145" s="23">
        <f t="shared" si="14"/>
        <v>-0.10477612603110842</v>
      </c>
      <c r="D145" s="24">
        <f t="shared" si="11"/>
        <v>-0.01159221707911209</v>
      </c>
      <c r="E145" s="8">
        <f t="shared" si="15"/>
        <v>-0.11790250902333206</v>
      </c>
      <c r="F145" s="3">
        <v>396.88</v>
      </c>
      <c r="G145" s="25">
        <f t="shared" si="12"/>
        <v>1.3600000000000136</v>
      </c>
      <c r="H145" s="24">
        <f t="shared" si="13"/>
        <v>0.003438511326860876</v>
      </c>
      <c r="I145" s="8">
        <f t="shared" si="16"/>
        <v>0.15278261879865235</v>
      </c>
    </row>
    <row r="146" spans="1:9" ht="18.75">
      <c r="A146" s="10" t="s">
        <v>278</v>
      </c>
      <c r="B146" s="7">
        <v>8.908733090104695</v>
      </c>
      <c r="C146" s="23">
        <f t="shared" si="14"/>
        <v>-0.024979738656421446</v>
      </c>
      <c r="D146" s="24">
        <f t="shared" si="11"/>
        <v>-0.0027961206203093855</v>
      </c>
      <c r="E146" s="8">
        <f t="shared" si="15"/>
        <v>-0.12036896000697508</v>
      </c>
      <c r="F146" s="3">
        <v>400.69</v>
      </c>
      <c r="G146" s="25">
        <f t="shared" si="12"/>
        <v>3.8100000000000023</v>
      </c>
      <c r="H146" s="24">
        <f t="shared" si="13"/>
        <v>0.009599879056641811</v>
      </c>
      <c r="I146" s="8">
        <f t="shared" si="16"/>
        <v>0.16384919251771823</v>
      </c>
    </row>
    <row r="147" spans="1:9" ht="18.75">
      <c r="A147" s="10" t="s">
        <v>279</v>
      </c>
      <c r="B147" s="7">
        <v>8.930243420614392</v>
      </c>
      <c r="C147" s="23">
        <f t="shared" si="14"/>
        <v>0.021510330509697084</v>
      </c>
      <c r="D147" s="24">
        <f t="shared" si="11"/>
        <v>0.0024145218284280525</v>
      </c>
      <c r="E147" s="8">
        <f t="shared" si="15"/>
        <v>-0.11824507165994906</v>
      </c>
      <c r="F147" s="3">
        <v>402.98</v>
      </c>
      <c r="G147" s="25">
        <f t="shared" si="12"/>
        <v>2.2900000000000205</v>
      </c>
      <c r="H147" s="24">
        <f t="shared" si="13"/>
        <v>0.0057151413811176235</v>
      </c>
      <c r="I147" s="8">
        <f t="shared" si="16"/>
        <v>0.17050075519925656</v>
      </c>
    </row>
    <row r="148" spans="1:9" ht="18.75">
      <c r="A148" s="10" t="s">
        <v>280</v>
      </c>
      <c r="B148" s="7">
        <v>8.926080130838322</v>
      </c>
      <c r="C148" s="23">
        <f t="shared" si="14"/>
        <v>-0.004163289776069945</v>
      </c>
      <c r="D148" s="24">
        <f t="shared" si="11"/>
        <v>-0.0004662011526426583</v>
      </c>
      <c r="E148" s="8">
        <f t="shared" si="15"/>
        <v>-0.11865614682388954</v>
      </c>
      <c r="F148" s="3">
        <v>403.4</v>
      </c>
      <c r="G148" s="25">
        <f t="shared" si="12"/>
        <v>0.4199999999999591</v>
      </c>
      <c r="H148" s="24">
        <f t="shared" si="13"/>
        <v>0.0010422353466672267</v>
      </c>
      <c r="I148" s="8">
        <f t="shared" si="16"/>
        <v>0.1717206924596259</v>
      </c>
    </row>
    <row r="149" spans="1:9" ht="18.75">
      <c r="A149" s="10" t="s">
        <v>281</v>
      </c>
      <c r="B149" s="7">
        <v>9.005150676395813</v>
      </c>
      <c r="C149" s="23">
        <f t="shared" si="14"/>
        <v>0.07907054555749049</v>
      </c>
      <c r="D149" s="24">
        <f t="shared" si="11"/>
        <v>0.00885837281297903</v>
      </c>
      <c r="E149" s="8">
        <f t="shared" si="15"/>
        <v>-0.1108488743960281</v>
      </c>
      <c r="F149" s="3">
        <v>403.82</v>
      </c>
      <c r="G149" s="25">
        <f t="shared" si="12"/>
        <v>0.4200000000000159</v>
      </c>
      <c r="H149" s="24">
        <f t="shared" si="13"/>
        <v>0.0010411502231036588</v>
      </c>
      <c r="I149" s="8">
        <f t="shared" si="16"/>
        <v>0.17294062971999544</v>
      </c>
    </row>
    <row r="150" spans="1:9" ht="18.75">
      <c r="A150" s="10" t="s">
        <v>284</v>
      </c>
      <c r="B150" s="7">
        <v>9.06482449651949</v>
      </c>
      <c r="C150" s="23">
        <f t="shared" si="14"/>
        <v>0.0596738201236775</v>
      </c>
      <c r="D150" s="24">
        <f t="shared" si="11"/>
        <v>0.006626632054041446</v>
      </c>
      <c r="E150" s="8">
        <f t="shared" si="15"/>
        <v>-0.10495679704621379</v>
      </c>
      <c r="F150" s="3">
        <v>404.78</v>
      </c>
      <c r="G150" s="25">
        <f t="shared" si="12"/>
        <v>0.9599999999999795</v>
      </c>
      <c r="H150" s="24">
        <f t="shared" si="13"/>
        <v>0.002377296815412757</v>
      </c>
      <c r="I150" s="8">
        <f t="shared" si="16"/>
        <v>0.17572905774369701</v>
      </c>
    </row>
    <row r="151" spans="1:9" ht="18.75">
      <c r="A151" s="10" t="s">
        <v>287</v>
      </c>
      <c r="B151" s="7">
        <v>9.029941679249054</v>
      </c>
      <c r="C151" s="23">
        <f t="shared" si="14"/>
        <v>-0.03488281727043585</v>
      </c>
      <c r="D151" s="24">
        <f t="shared" si="11"/>
        <v>-0.003848151421335226</v>
      </c>
      <c r="E151" s="8">
        <f t="shared" si="15"/>
        <v>-0.10840105881981683</v>
      </c>
      <c r="F151" s="3">
        <v>403.69</v>
      </c>
      <c r="G151" s="25">
        <f t="shared" si="12"/>
        <v>-1.089999999999975</v>
      </c>
      <c r="H151" s="24">
        <f t="shared" si="13"/>
        <v>-0.0026928207915410222</v>
      </c>
      <c r="I151" s="8">
        <f t="shared" si="16"/>
        <v>0.17256303009178584</v>
      </c>
    </row>
    <row r="152" spans="1:9" ht="18.75">
      <c r="A152" s="10" t="s">
        <v>289</v>
      </c>
      <c r="B152" s="7">
        <v>9.03594375534289</v>
      </c>
      <c r="C152" s="23">
        <f t="shared" si="14"/>
        <v>0.00600207609383574</v>
      </c>
      <c r="D152" s="24">
        <f t="shared" si="11"/>
        <v>0.0006646860308775419</v>
      </c>
      <c r="E152" s="8">
        <f t="shared" si="15"/>
        <v>-0.10780842545846916</v>
      </c>
      <c r="F152" s="3">
        <v>412.68</v>
      </c>
      <c r="G152" s="25">
        <f t="shared" si="12"/>
        <v>8.990000000000009</v>
      </c>
      <c r="H152" s="24">
        <f t="shared" si="13"/>
        <v>0.022269563278753523</v>
      </c>
      <c r="I152" s="8">
        <f t="shared" si="16"/>
        <v>0.19867549668874185</v>
      </c>
    </row>
    <row r="153" spans="1:9" ht="18.75">
      <c r="A153" s="10" t="s">
        <v>291</v>
      </c>
      <c r="B153" s="7">
        <v>9.053047937506246</v>
      </c>
      <c r="C153" s="23">
        <f t="shared" si="14"/>
        <v>0.017104182163356185</v>
      </c>
      <c r="D153" s="24">
        <f t="shared" si="11"/>
        <v>0.0018929048947701342</v>
      </c>
      <c r="E153" s="8">
        <f t="shared" si="15"/>
        <v>-0.10611959165994682</v>
      </c>
      <c r="F153" s="3">
        <v>415.63</v>
      </c>
      <c r="G153" s="25">
        <f t="shared" si="12"/>
        <v>2.9499999999999886</v>
      </c>
      <c r="H153" s="24">
        <f t="shared" si="13"/>
        <v>0.007148395851507194</v>
      </c>
      <c r="I153" s="8">
        <f t="shared" si="16"/>
        <v>0.20724410363657497</v>
      </c>
    </row>
    <row r="154" spans="1:9" ht="18.75">
      <c r="A154" s="10" t="s">
        <v>292</v>
      </c>
      <c r="B154" s="7">
        <v>9.10023188830171</v>
      </c>
      <c r="C154" s="23">
        <f t="shared" si="14"/>
        <v>0.047183950795464114</v>
      </c>
      <c r="D154" s="24">
        <f t="shared" si="11"/>
        <v>0.005211940897825557</v>
      </c>
      <c r="E154" s="8">
        <f t="shared" si="15"/>
        <v>-0.10146073980195429</v>
      </c>
      <c r="F154" s="3">
        <v>418.21</v>
      </c>
      <c r="G154" s="25">
        <f t="shared" si="12"/>
        <v>2.579999999999984</v>
      </c>
      <c r="H154" s="24">
        <f t="shared" si="13"/>
        <v>0.006207444120972943</v>
      </c>
      <c r="I154" s="8">
        <f t="shared" si="16"/>
        <v>0.21473800395027307</v>
      </c>
    </row>
    <row r="155" spans="1:9" ht="18.75">
      <c r="A155" s="10" t="s">
        <v>293</v>
      </c>
      <c r="B155" s="7">
        <v>9.090517545490881</v>
      </c>
      <c r="C155" s="23">
        <f t="shared" si="14"/>
        <v>-0.00971434281082928</v>
      </c>
      <c r="D155" s="24">
        <f t="shared" si="11"/>
        <v>-0.0010674829971439525</v>
      </c>
      <c r="E155" s="8">
        <f t="shared" si="15"/>
        <v>-0.10241991518448201</v>
      </c>
      <c r="F155" s="3">
        <v>419.28</v>
      </c>
      <c r="G155" s="25">
        <f t="shared" si="12"/>
        <v>1.0699999999999932</v>
      </c>
      <c r="H155" s="24">
        <f t="shared" si="13"/>
        <v>0.002558523229956226</v>
      </c>
      <c r="I155" s="8">
        <f t="shared" si="16"/>
        <v>0.2178459393516905</v>
      </c>
    </row>
    <row r="156" spans="1:9" ht="18.75">
      <c r="A156" s="10" t="s">
        <v>295</v>
      </c>
      <c r="B156" s="7">
        <v>9.16119133230824</v>
      </c>
      <c r="C156" s="23">
        <f t="shared" si="14"/>
        <v>0.07067378681735903</v>
      </c>
      <c r="D156" s="24">
        <f t="shared" si="11"/>
        <v>0.007774451395500023</v>
      </c>
      <c r="E156" s="8">
        <f t="shared" si="15"/>
        <v>-0.09544172244151497</v>
      </c>
      <c r="F156" s="3">
        <v>424.05</v>
      </c>
      <c r="G156" s="25">
        <f t="shared" si="12"/>
        <v>4.770000000000039</v>
      </c>
      <c r="H156" s="24">
        <f t="shared" si="13"/>
        <v>0.01137664567830576</v>
      </c>
      <c r="I156" s="8">
        <f t="shared" si="16"/>
        <v>0.23170094109445813</v>
      </c>
    </row>
    <row r="157" spans="1:9" ht="18.75">
      <c r="A157" s="10" t="s">
        <v>297</v>
      </c>
      <c r="B157" s="7">
        <v>9.110295114795777</v>
      </c>
      <c r="C157" s="23">
        <f t="shared" si="14"/>
        <v>-0.05089621751246298</v>
      </c>
      <c r="D157" s="24">
        <f t="shared" si="11"/>
        <v>-0.0055556330684820715</v>
      </c>
      <c r="E157" s="8">
        <f t="shared" si="15"/>
        <v>-0.10046711632068808</v>
      </c>
      <c r="F157" s="3">
        <v>422.6</v>
      </c>
      <c r="G157" s="25">
        <f t="shared" si="12"/>
        <v>-1.4499999999999886</v>
      </c>
      <c r="H157" s="24">
        <f t="shared" si="13"/>
        <v>-0.003419408088668762</v>
      </c>
      <c r="I157" s="8">
        <f t="shared" si="16"/>
        <v>0.22748925293365882</v>
      </c>
    </row>
    <row r="158" spans="1:9" ht="18.75">
      <c r="A158" s="10" t="s">
        <v>298</v>
      </c>
      <c r="B158" s="7">
        <v>9.054784584448171</v>
      </c>
      <c r="C158" s="23">
        <f t="shared" si="14"/>
        <v>-0.05551053034760578</v>
      </c>
      <c r="D158" s="24">
        <f t="shared" si="11"/>
        <v>-0.006093164891821415</v>
      </c>
      <c r="E158" s="8">
        <f t="shared" si="15"/>
        <v>-0.10594811850656174</v>
      </c>
      <c r="F158" s="3">
        <v>431.73</v>
      </c>
      <c r="G158" s="25">
        <f t="shared" si="12"/>
        <v>9.129999999999995</v>
      </c>
      <c r="H158" s="24">
        <f t="shared" si="13"/>
        <v>0.021604353999053468</v>
      </c>
      <c r="I158" s="8">
        <f t="shared" si="16"/>
        <v>0.2540083652840713</v>
      </c>
    </row>
    <row r="159" spans="1:9" ht="18.75">
      <c r="A159" s="10" t="s">
        <v>299</v>
      </c>
      <c r="B159" s="7">
        <v>9.079764323104595</v>
      </c>
      <c r="C159" s="23">
        <f t="shared" si="14"/>
        <v>0.024979738656423223</v>
      </c>
      <c r="D159" s="24">
        <f t="shared" si="11"/>
        <v>0.0027587336201599514</v>
      </c>
      <c r="E159" s="8">
        <f t="shared" si="15"/>
        <v>-0.10348166752291853</v>
      </c>
      <c r="F159" s="3">
        <v>427.97</v>
      </c>
      <c r="G159" s="25">
        <f t="shared" si="12"/>
        <v>-3.759999999999991</v>
      </c>
      <c r="H159" s="24">
        <f t="shared" si="13"/>
        <v>-0.008709146920529013</v>
      </c>
      <c r="I159" s="8">
        <f t="shared" si="16"/>
        <v>0.24308702219123987</v>
      </c>
    </row>
    <row r="160" spans="1:9" ht="18.75">
      <c r="A160" s="10" t="s">
        <v>300</v>
      </c>
      <c r="B160" s="7">
        <v>9.236581571336584</v>
      </c>
      <c r="C160" s="23">
        <f t="shared" si="14"/>
        <v>0.15681724823198984</v>
      </c>
      <c r="D160" s="24">
        <f t="shared" si="11"/>
        <v>0.017271070333064565</v>
      </c>
      <c r="E160" s="8">
        <f t="shared" si="15"/>
        <v>-0.0879978363478251</v>
      </c>
      <c r="F160" s="3">
        <v>429.75</v>
      </c>
      <c r="G160" s="25">
        <f t="shared" si="12"/>
        <v>1.7799999999999727</v>
      </c>
      <c r="H160" s="24">
        <f t="shared" si="13"/>
        <v>0.004159170035282783</v>
      </c>
      <c r="I160" s="8">
        <f t="shared" si="16"/>
        <v>0.24825723248518658</v>
      </c>
    </row>
    <row r="161" spans="1:9" ht="18.75">
      <c r="A161" s="10" t="s">
        <v>301</v>
      </c>
      <c r="B161" s="7">
        <v>9.318459603599305</v>
      </c>
      <c r="C161" s="23">
        <f t="shared" si="14"/>
        <v>0.08187803226272017</v>
      </c>
      <c r="D161" s="24">
        <f t="shared" si="11"/>
        <v>0.008864538425861806</v>
      </c>
      <c r="E161" s="8">
        <f t="shared" si="15"/>
        <v>-0.07991335812366128</v>
      </c>
      <c r="F161" s="3">
        <v>442.3</v>
      </c>
      <c r="G161" s="25">
        <f t="shared" si="12"/>
        <v>12.550000000000011</v>
      </c>
      <c r="H161" s="24">
        <f t="shared" si="13"/>
        <v>0.029203025014543367</v>
      </c>
      <c r="I161" s="8">
        <f t="shared" si="16"/>
        <v>0.2847101196700362</v>
      </c>
    </row>
    <row r="162" spans="1:9" ht="18.75">
      <c r="A162" s="10" t="s">
        <v>306</v>
      </c>
      <c r="B162" s="7">
        <v>9.207466603477181</v>
      </c>
      <c r="C162" s="23">
        <f t="shared" si="14"/>
        <v>-0.11099300012212332</v>
      </c>
      <c r="D162" s="24">
        <f t="shared" si="11"/>
        <v>-0.01191108883267055</v>
      </c>
      <c r="E162" s="8">
        <f t="shared" si="15"/>
        <v>-0.09087259184880389</v>
      </c>
      <c r="F162" s="3">
        <v>446.2</v>
      </c>
      <c r="G162" s="25">
        <f t="shared" si="12"/>
        <v>3.8999999999999773</v>
      </c>
      <c r="H162" s="24">
        <f t="shared" si="13"/>
        <v>0.008817544652950435</v>
      </c>
      <c r="I162" s="8">
        <f t="shared" si="16"/>
        <v>0.296038108516324</v>
      </c>
    </row>
    <row r="163" spans="1:9" ht="18.75">
      <c r="A163" s="10" t="s">
        <v>307</v>
      </c>
      <c r="B163" s="7">
        <v>9.44453126214293</v>
      </c>
      <c r="C163" s="23">
        <f t="shared" si="14"/>
        <v>0.23706465866574788</v>
      </c>
      <c r="D163" s="24">
        <f aca="true" t="shared" si="17" ref="D163:D168">$C163/$B162</f>
        <v>0.02574700174054619</v>
      </c>
      <c r="E163" s="8">
        <f t="shared" si="15"/>
        <v>-0.06746528688875679</v>
      </c>
      <c r="F163" s="3">
        <v>454.19</v>
      </c>
      <c r="G163" s="25">
        <f t="shared" si="12"/>
        <v>7.990000000000009</v>
      </c>
      <c r="H163" s="24">
        <f t="shared" si="13"/>
        <v>0.01790676826535188</v>
      </c>
      <c r="I163" s="8">
        <f t="shared" si="16"/>
        <v>0.3192459625885908</v>
      </c>
    </row>
    <row r="164" spans="1:9" ht="18.75">
      <c r="A164" s="10" t="s">
        <v>308</v>
      </c>
      <c r="B164" s="7">
        <v>9.455633368212451</v>
      </c>
      <c r="C164" s="23">
        <f t="shared" si="14"/>
        <v>0.011102106069522222</v>
      </c>
      <c r="D164" s="24">
        <f t="shared" si="17"/>
        <v>0.0011755063074462412</v>
      </c>
      <c r="E164" s="8">
        <f t="shared" si="15"/>
        <v>-0.06636908645158196</v>
      </c>
      <c r="F164" s="3">
        <v>452.66</v>
      </c>
      <c r="G164" s="25">
        <f t="shared" si="12"/>
        <v>-1.5299999999999727</v>
      </c>
      <c r="H164" s="24">
        <f t="shared" si="13"/>
        <v>-0.0033686342720006444</v>
      </c>
      <c r="I164" s="8">
        <f t="shared" si="16"/>
        <v>0.3148019054258164</v>
      </c>
    </row>
    <row r="165" spans="1:9" ht="18.75">
      <c r="A165" s="10" t="s">
        <v>309</v>
      </c>
      <c r="B165" s="7">
        <v>9.436898564220133</v>
      </c>
      <c r="C165" s="23">
        <f t="shared" si="14"/>
        <v>-0.018734803992318305</v>
      </c>
      <c r="D165" s="24">
        <f t="shared" si="17"/>
        <v>-0.0019813378187124066</v>
      </c>
      <c r="E165" s="8">
        <f t="shared" si="15"/>
        <v>-0.06821892468931445</v>
      </c>
      <c r="F165" s="3">
        <v>458.79</v>
      </c>
      <c r="G165" s="25">
        <f t="shared" si="12"/>
        <v>6.1299999999999955</v>
      </c>
      <c r="H165" s="24">
        <f t="shared" si="13"/>
        <v>0.01354217293332743</v>
      </c>
      <c r="I165" s="8">
        <f t="shared" si="16"/>
        <v>0.3326071802021612</v>
      </c>
    </row>
    <row r="166" spans="1:9" ht="18.75">
      <c r="A166" s="10" t="s">
        <v>311</v>
      </c>
      <c r="B166" s="7">
        <v>9.43807811400382</v>
      </c>
      <c r="C166" s="23">
        <f t="shared" si="14"/>
        <v>0.0011795497836875057</v>
      </c>
      <c r="D166" s="24">
        <f t="shared" si="17"/>
        <v>0.00012499337315754902</v>
      </c>
      <c r="E166" s="8">
        <f t="shared" si="15"/>
        <v>-0.068102458229667</v>
      </c>
      <c r="F166" s="3">
        <v>450.02</v>
      </c>
      <c r="G166" s="25">
        <f t="shared" si="12"/>
        <v>-8.770000000000039</v>
      </c>
      <c r="H166" s="24">
        <f t="shared" si="13"/>
        <v>-0.0191154994659867</v>
      </c>
      <c r="I166" s="8">
        <f t="shared" si="16"/>
        <v>0.30713372836063674</v>
      </c>
    </row>
    <row r="167" spans="1:9" ht="18.75">
      <c r="A167" s="10" t="s">
        <v>313</v>
      </c>
      <c r="B167" s="7">
        <v>9.650252026549971</v>
      </c>
      <c r="C167" s="23">
        <f t="shared" si="14"/>
        <v>0.2121739125461506</v>
      </c>
      <c r="D167" s="24">
        <f t="shared" si="17"/>
        <v>0.022480626880099237</v>
      </c>
      <c r="E167" s="8">
        <f t="shared" si="15"/>
        <v>-0.047152817302646456</v>
      </c>
      <c r="F167" s="3">
        <v>453.89</v>
      </c>
      <c r="G167" s="25">
        <f t="shared" si="12"/>
        <v>3.8700000000000045</v>
      </c>
      <c r="H167" s="24">
        <f t="shared" si="13"/>
        <v>0.008599617794764687</v>
      </c>
      <c r="I167" s="8">
        <f t="shared" si="16"/>
        <v>0.318374578831184</v>
      </c>
    </row>
    <row r="168" spans="1:9" ht="18.75">
      <c r="A168" s="10" t="s">
        <v>314</v>
      </c>
      <c r="B168" s="7">
        <v>9.703870133513375</v>
      </c>
      <c r="C168" s="23">
        <f t="shared" si="14"/>
        <v>0.05361810696340363</v>
      </c>
      <c r="D168" s="24">
        <f t="shared" si="17"/>
        <v>0.005556135406193372</v>
      </c>
      <c r="E168" s="8">
        <f t="shared" si="15"/>
        <v>-0.04185866933417008</v>
      </c>
      <c r="F168" s="3">
        <v>459.34</v>
      </c>
      <c r="G168" s="25">
        <f t="shared" si="12"/>
        <v>5.449999999999989</v>
      </c>
      <c r="H168" s="24">
        <f t="shared" si="13"/>
        <v>0.012007314547577582</v>
      </c>
      <c r="I168" s="8">
        <f t="shared" si="16"/>
        <v>0.3342047170907401</v>
      </c>
    </row>
    <row r="169" spans="1:9" ht="18.75">
      <c r="A169" s="10" t="s">
        <v>316</v>
      </c>
      <c r="B169" s="7">
        <v>9.692773902022706</v>
      </c>
      <c r="C169" s="23">
        <f t="shared" si="14"/>
        <v>-0.011096231490668629</v>
      </c>
      <c r="D169" s="24">
        <f aca="true" t="shared" si="18" ref="D169:D197">$C169/$B168</f>
        <v>-0.001143485159838092</v>
      </c>
      <c r="E169" s="8">
        <f t="shared" si="15"/>
        <v>-0.042954289726813984</v>
      </c>
      <c r="F169" s="3">
        <v>457.51</v>
      </c>
      <c r="G169" s="25">
        <f t="shared" si="12"/>
        <v>-1.829999999999984</v>
      </c>
      <c r="H169" s="24">
        <f t="shared" si="13"/>
        <v>-0.003983977010493282</v>
      </c>
      <c r="I169" s="8">
        <f t="shared" si="16"/>
        <v>0.3288892761705589</v>
      </c>
    </row>
    <row r="170" spans="1:9" ht="18.75">
      <c r="A170" s="10" t="s">
        <v>317</v>
      </c>
      <c r="B170" s="7">
        <v>9.69992298295116</v>
      </c>
      <c r="C170" s="23">
        <f t="shared" si="14"/>
        <v>0.007149080928453344</v>
      </c>
      <c r="D170" s="24">
        <f t="shared" si="18"/>
        <v>0.000737568110090906</v>
      </c>
      <c r="E170" s="8">
        <f t="shared" si="15"/>
        <v>-0.04224840333101718</v>
      </c>
      <c r="F170" s="3">
        <v>461.82</v>
      </c>
      <c r="G170" s="25">
        <f t="shared" si="12"/>
        <v>4.310000000000002</v>
      </c>
      <c r="H170" s="24">
        <f t="shared" si="13"/>
        <v>0.009420559113462006</v>
      </c>
      <c r="I170" s="8">
        <f t="shared" si="16"/>
        <v>0.3414081561519694</v>
      </c>
    </row>
    <row r="171" spans="1:9" ht="18.75">
      <c r="A171" s="10" t="s">
        <v>319</v>
      </c>
      <c r="B171" s="7">
        <v>9.898699603626358</v>
      </c>
      <c r="C171" s="23">
        <f t="shared" si="14"/>
        <v>0.19877662067519886</v>
      </c>
      <c r="D171" s="24">
        <f t="shared" si="18"/>
        <v>0.02049259783037184</v>
      </c>
      <c r="E171" s="8">
        <f t="shared" si="15"/>
        <v>-0.02262158503908322</v>
      </c>
      <c r="F171" s="3">
        <v>477.73</v>
      </c>
      <c r="G171" s="25">
        <f t="shared" si="12"/>
        <v>15.910000000000025</v>
      </c>
      <c r="H171" s="24">
        <f t="shared" si="13"/>
        <v>0.03445065176908758</v>
      </c>
      <c r="I171" s="8">
        <f t="shared" si="16"/>
        <v>0.38762054141977476</v>
      </c>
    </row>
    <row r="172" spans="1:9" ht="18.75">
      <c r="A172" s="10" t="s">
        <v>321</v>
      </c>
      <c r="B172" s="7">
        <v>9.853139154286604</v>
      </c>
      <c r="C172" s="23">
        <f t="shared" si="14"/>
        <v>-0.04556044933975478</v>
      </c>
      <c r="D172" s="24">
        <f t="shared" si="18"/>
        <v>-0.004602670165186532</v>
      </c>
      <c r="E172" s="8">
        <f t="shared" si="15"/>
        <v>-0.027120135509721133</v>
      </c>
      <c r="F172" s="3">
        <v>489.8</v>
      </c>
      <c r="G172" s="25">
        <f t="shared" si="12"/>
        <v>12.069999999999993</v>
      </c>
      <c r="H172" s="24">
        <f t="shared" si="13"/>
        <v>0.025265317229397344</v>
      </c>
      <c r="I172" s="8">
        <f t="shared" si="16"/>
        <v>0.42267921459277347</v>
      </c>
    </row>
    <row r="173" spans="1:9" ht="18.75">
      <c r="A173" s="10" t="s">
        <v>322</v>
      </c>
      <c r="B173" s="7">
        <v>9.86958204042205</v>
      </c>
      <c r="C173" s="23">
        <f t="shared" si="14"/>
        <v>0.016442886135445534</v>
      </c>
      <c r="D173" s="24">
        <f t="shared" si="18"/>
        <v>0.0016687967030580364</v>
      </c>
      <c r="E173" s="8">
        <f t="shared" si="15"/>
        <v>-0.025496596799388205</v>
      </c>
      <c r="F173" s="3">
        <v>495.72</v>
      </c>
      <c r="G173" s="25">
        <f t="shared" si="12"/>
        <v>5.920000000000016</v>
      </c>
      <c r="H173" s="24">
        <f t="shared" si="13"/>
        <v>0.012086565945283822</v>
      </c>
      <c r="I173" s="8">
        <f t="shared" si="16"/>
        <v>0.4398745207389336</v>
      </c>
    </row>
    <row r="174" spans="1:9" ht="18.75">
      <c r="A174" s="10" t="s">
        <v>325</v>
      </c>
      <c r="B174" s="7">
        <v>9.812013723089787</v>
      </c>
      <c r="C174" s="23">
        <f t="shared" si="14"/>
        <v>-0.05756831733226164</v>
      </c>
      <c r="D174" s="24">
        <f t="shared" si="18"/>
        <v>-0.005832903267482223</v>
      </c>
      <c r="E174" s="8">
        <f t="shared" si="15"/>
        <v>-0.031180780884089602</v>
      </c>
      <c r="F174" s="3">
        <v>489.33</v>
      </c>
      <c r="G174" s="25">
        <f t="shared" si="12"/>
        <v>-6.390000000000043</v>
      </c>
      <c r="H174" s="24">
        <f t="shared" si="13"/>
        <v>-0.012890341321713957</v>
      </c>
      <c r="I174" s="8">
        <f t="shared" si="16"/>
        <v>0.42131404670616945</v>
      </c>
    </row>
    <row r="175" spans="1:9" ht="18.75">
      <c r="A175" s="10" t="s">
        <v>328</v>
      </c>
      <c r="B175" s="7">
        <v>9.9661836533119</v>
      </c>
      <c r="C175" s="23">
        <f t="shared" si="14"/>
        <v>0.15416993022211223</v>
      </c>
      <c r="D175" s="24">
        <f t="shared" si="18"/>
        <v>0.015712363901338323</v>
      </c>
      <c r="E175" s="8">
        <f t="shared" si="15"/>
        <v>-0.015958340758729987</v>
      </c>
      <c r="F175" s="3">
        <v>496.64</v>
      </c>
      <c r="G175" s="25">
        <f t="shared" si="12"/>
        <v>7.310000000000002</v>
      </c>
      <c r="H175" s="24">
        <f t="shared" si="13"/>
        <v>0.014938793860993609</v>
      </c>
      <c r="I175" s="8">
        <f t="shared" si="16"/>
        <v>0.4425467642616476</v>
      </c>
    </row>
    <row r="176" spans="1:9" ht="18.75">
      <c r="A176" s="10" t="s">
        <v>331</v>
      </c>
      <c r="B176" s="7">
        <v>9.972239982922275</v>
      </c>
      <c r="C176" s="23">
        <f t="shared" si="14"/>
        <v>0.006056329610375499</v>
      </c>
      <c r="D176" s="24">
        <f t="shared" si="18"/>
        <v>0.0006076879396420613</v>
      </c>
      <c r="E176" s="8">
        <f aca="true" t="shared" si="19" ref="E176:E181">(B176-$B$3)/$B$3</f>
        <v>-0.015360350510303704</v>
      </c>
      <c r="F176" s="3">
        <v>482.52</v>
      </c>
      <c r="G176" s="25">
        <f t="shared" si="12"/>
        <v>-14.120000000000005</v>
      </c>
      <c r="H176" s="24">
        <f t="shared" si="13"/>
        <v>-0.028431056701030938</v>
      </c>
      <c r="I176" s="8">
        <f aca="true" t="shared" si="20" ref="I176:I181">(F176-$F$3)/$F$3</f>
        <v>0.40153363541303594</v>
      </c>
    </row>
    <row r="177" spans="1:9" ht="18.75">
      <c r="A177" s="10" t="s">
        <v>334</v>
      </c>
      <c r="B177" s="7">
        <v>9.926475084370242</v>
      </c>
      <c r="C177" s="23">
        <f t="shared" si="14"/>
        <v>-0.04576489855203292</v>
      </c>
      <c r="D177" s="24">
        <f t="shared" si="18"/>
        <v>-0.00458922956431118</v>
      </c>
      <c r="E177" s="8">
        <f t="shared" si="19"/>
        <v>-0.019879087899934814</v>
      </c>
      <c r="F177" s="3">
        <v>474.28</v>
      </c>
      <c r="G177" s="25">
        <f t="shared" si="12"/>
        <v>-8.240000000000009</v>
      </c>
      <c r="H177" s="24">
        <f t="shared" si="13"/>
        <v>-0.01707701235181963</v>
      </c>
      <c r="I177" s="8">
        <f t="shared" si="20"/>
        <v>0.37759962820959686</v>
      </c>
    </row>
    <row r="178" spans="1:9" ht="18.75">
      <c r="A178" s="10" t="s">
        <v>337</v>
      </c>
      <c r="B178" s="7">
        <v>9.989983413018553</v>
      </c>
      <c r="C178" s="23">
        <f t="shared" si="14"/>
        <v>0.06350832864831091</v>
      </c>
      <c r="D178" s="24">
        <f t="shared" si="18"/>
        <v>0.006397873173359203</v>
      </c>
      <c r="E178" s="8">
        <f t="shared" si="19"/>
        <v>-0.013608398609761454</v>
      </c>
      <c r="F178" s="3">
        <v>484.39</v>
      </c>
      <c r="G178" s="25">
        <f t="shared" si="12"/>
        <v>10.110000000000014</v>
      </c>
      <c r="H178" s="24">
        <f t="shared" si="13"/>
        <v>0.02131652188580588</v>
      </c>
      <c r="I178" s="8">
        <f t="shared" si="20"/>
        <v>0.4069652608342048</v>
      </c>
    </row>
    <row r="179" spans="1:9" ht="18.75">
      <c r="A179" s="10" t="s">
        <v>342</v>
      </c>
      <c r="B179" s="7">
        <v>10.19493993072335</v>
      </c>
      <c r="C179" s="23">
        <f t="shared" si="14"/>
        <v>0.2049565177047974</v>
      </c>
      <c r="D179" s="24">
        <f t="shared" si="18"/>
        <v>0.020516202002668606</v>
      </c>
      <c r="E179" s="8">
        <f t="shared" si="19"/>
        <v>0.006628610738096451</v>
      </c>
      <c r="F179" s="3">
        <v>494.2</v>
      </c>
      <c r="G179" s="25">
        <f t="shared" si="12"/>
        <v>9.810000000000002</v>
      </c>
      <c r="H179" s="24">
        <f t="shared" si="13"/>
        <v>0.02025227605854787</v>
      </c>
      <c r="I179" s="8">
        <f t="shared" si="20"/>
        <v>0.4354595097014059</v>
      </c>
    </row>
    <row r="180" spans="1:9" ht="18.75">
      <c r="A180" s="10" t="s">
        <v>345</v>
      </c>
      <c r="B180" s="7">
        <v>10.409477708617427</v>
      </c>
      <c r="C180" s="23">
        <f t="shared" si="14"/>
        <v>0.21453777789407624</v>
      </c>
      <c r="D180" s="24">
        <f t="shared" si="18"/>
        <v>0.02104355487642921</v>
      </c>
      <c r="E180" s="8">
        <f t="shared" si="19"/>
        <v>0.027811655148347283</v>
      </c>
      <c r="F180" s="3">
        <v>503.19</v>
      </c>
      <c r="G180" s="25">
        <f t="shared" si="12"/>
        <v>8.990000000000009</v>
      </c>
      <c r="H180" s="24">
        <f t="shared" si="13"/>
        <v>0.01819101578308379</v>
      </c>
      <c r="I180" s="8">
        <f t="shared" si="20"/>
        <v>0.4615719762983619</v>
      </c>
    </row>
    <row r="181" spans="1:9" ht="18.75">
      <c r="A181" s="10" t="s">
        <v>349</v>
      </c>
      <c r="B181" s="7">
        <v>10.501229262463804</v>
      </c>
      <c r="C181" s="23">
        <f t="shared" si="14"/>
        <v>0.09175155384637712</v>
      </c>
      <c r="D181" s="24">
        <f t="shared" si="18"/>
        <v>0.008814232223238358</v>
      </c>
      <c r="E181" s="8">
        <f t="shared" si="19"/>
        <v>0.036871025758575794</v>
      </c>
      <c r="F181" s="3">
        <v>495.08</v>
      </c>
      <c r="G181" s="25">
        <f t="shared" si="12"/>
        <v>-8.110000000000014</v>
      </c>
      <c r="H181" s="24">
        <f t="shared" si="13"/>
        <v>-0.016117172439833887</v>
      </c>
      <c r="I181" s="8">
        <f t="shared" si="20"/>
        <v>0.4380155687231324</v>
      </c>
    </row>
    <row r="182" spans="1:9" ht="18.75">
      <c r="A182" s="10" t="s">
        <v>353</v>
      </c>
      <c r="B182" s="7">
        <v>10.46352466804738</v>
      </c>
      <c r="C182" s="23">
        <f t="shared" si="14"/>
        <v>-0.037704594416423376</v>
      </c>
      <c r="D182" s="24">
        <f t="shared" si="18"/>
        <v>-0.003590493405490807</v>
      </c>
      <c r="E182" s="8">
        <f aca="true" t="shared" si="21" ref="E182:E187">(B182-$B$3)/$B$3</f>
        <v>0.033148147178245144</v>
      </c>
      <c r="F182" s="3">
        <v>493.04</v>
      </c>
      <c r="G182" s="25">
        <f t="shared" si="12"/>
        <v>-2.0399999999999636</v>
      </c>
      <c r="H182" s="24">
        <f t="shared" si="13"/>
        <v>-0.0041205461743555865</v>
      </c>
      <c r="I182" s="8">
        <f aca="true" t="shared" si="22" ref="I182:I187">(F182-$F$3)/$F$3</f>
        <v>0.43209015917276655</v>
      </c>
    </row>
    <row r="183" spans="1:9" ht="18.75">
      <c r="A183" s="10" t="s">
        <v>357</v>
      </c>
      <c r="B183" s="7">
        <v>10.431304642512211</v>
      </c>
      <c r="C183" s="23">
        <f t="shared" si="14"/>
        <v>-0.03222002553516923</v>
      </c>
      <c r="D183" s="24">
        <f t="shared" si="18"/>
        <v>-0.003079270757927297</v>
      </c>
      <c r="E183" s="8">
        <f t="shared" si="21"/>
        <v>0.029966804300032405</v>
      </c>
      <c r="F183" s="3">
        <v>487.44</v>
      </c>
      <c r="G183" s="25">
        <f t="shared" si="12"/>
        <v>-5.600000000000023</v>
      </c>
      <c r="H183" s="24">
        <f t="shared" si="13"/>
        <v>-0.011358104819081661</v>
      </c>
      <c r="I183" s="8">
        <f t="shared" si="22"/>
        <v>0.4158243290345069</v>
      </c>
    </row>
    <row r="184" spans="1:9" ht="18.75">
      <c r="A184" s="10" t="s">
        <v>360</v>
      </c>
      <c r="B184" s="7">
        <v>10.474051345916475</v>
      </c>
      <c r="C184" s="23">
        <f t="shared" si="14"/>
        <v>0.0427467034042639</v>
      </c>
      <c r="D184" s="24">
        <f t="shared" si="18"/>
        <v>0.004097924935491966</v>
      </c>
      <c r="E184" s="8">
        <f t="shared" si="21"/>
        <v>0.034187530950102483</v>
      </c>
      <c r="F184" s="3">
        <v>488.58</v>
      </c>
      <c r="G184" s="25">
        <f t="shared" si="12"/>
        <v>1.1399999999999864</v>
      </c>
      <c r="H184" s="24">
        <f t="shared" si="13"/>
        <v>0.002338749384539608</v>
      </c>
      <c r="I184" s="8">
        <f t="shared" si="22"/>
        <v>0.41913558731265255</v>
      </c>
    </row>
    <row r="185" spans="1:9" ht="18.75">
      <c r="A185" s="10" t="s">
        <v>363</v>
      </c>
      <c r="B185" s="7">
        <v>10.327485186376482</v>
      </c>
      <c r="C185" s="23">
        <f t="shared" si="14"/>
        <v>-0.14656615953999363</v>
      </c>
      <c r="D185" s="24">
        <f t="shared" si="18"/>
        <v>-0.013993263418279448</v>
      </c>
      <c r="E185" s="8">
        <f t="shared" si="21"/>
        <v>0.019715872405617667</v>
      </c>
      <c r="F185" s="3">
        <v>480.44</v>
      </c>
      <c r="G185" s="25">
        <f t="shared" si="12"/>
        <v>-8.139999999999986</v>
      </c>
      <c r="H185" s="24">
        <f t="shared" si="13"/>
        <v>-0.01666052642351301</v>
      </c>
      <c r="I185" s="8">
        <f t="shared" si="22"/>
        <v>0.3954920413616825</v>
      </c>
    </row>
    <row r="186" spans="1:9" ht="18.75">
      <c r="A186" s="10" t="s">
        <v>365</v>
      </c>
      <c r="B186" s="7">
        <v>10.124791886024669</v>
      </c>
      <c r="C186" s="23">
        <f t="shared" si="14"/>
        <v>-0.20269330035181277</v>
      </c>
      <c r="D186" s="24">
        <f t="shared" si="18"/>
        <v>-0.019626588341099337</v>
      </c>
      <c r="E186" s="8">
        <f t="shared" si="21"/>
        <v>-0.0002976712469723681</v>
      </c>
      <c r="F186" s="3">
        <v>478.9</v>
      </c>
      <c r="G186" s="25">
        <f t="shared" si="12"/>
        <v>-1.5400000000000205</v>
      </c>
      <c r="H186" s="24">
        <f t="shared" si="13"/>
        <v>-0.003205395054533387</v>
      </c>
      <c r="I186" s="8">
        <f t="shared" si="22"/>
        <v>0.391018938073661</v>
      </c>
    </row>
    <row r="187" spans="1:9" ht="18.75">
      <c r="A187" s="10" t="s">
        <v>369</v>
      </c>
      <c r="B187" s="7">
        <v>10.225374545465925</v>
      </c>
      <c r="C187" s="23">
        <f t="shared" si="14"/>
        <v>0.10058265944125644</v>
      </c>
      <c r="D187" s="24">
        <f t="shared" si="18"/>
        <v>0.009934294015474184</v>
      </c>
      <c r="E187" s="8">
        <f t="shared" si="21"/>
        <v>0.009633665614814439</v>
      </c>
      <c r="F187" s="3">
        <v>484.86</v>
      </c>
      <c r="G187" s="25">
        <f t="shared" si="12"/>
        <v>5.960000000000036</v>
      </c>
      <c r="H187" s="24">
        <f t="shared" si="13"/>
        <v>0.012445186886615237</v>
      </c>
      <c r="I187" s="8">
        <f t="shared" si="22"/>
        <v>0.40833042872080877</v>
      </c>
    </row>
    <row r="188" spans="1:9" ht="18.75">
      <c r="A188" s="10" t="s">
        <v>371</v>
      </c>
      <c r="B188" s="7">
        <v>10.223180489622857</v>
      </c>
      <c r="C188" s="23">
        <f t="shared" si="14"/>
        <v>-0.002194055843068199</v>
      </c>
      <c r="D188" s="24">
        <f t="shared" si="18"/>
        <v>-0.0002145697287969832</v>
      </c>
      <c r="E188" s="8">
        <f aca="true" t="shared" si="23" ref="E188:E193">(B188-$B$3)/$B$3</f>
        <v>0.009417028792999164</v>
      </c>
      <c r="F188" s="3">
        <v>480.48</v>
      </c>
      <c r="G188" s="25">
        <f t="shared" si="12"/>
        <v>-4.3799999999999955</v>
      </c>
      <c r="H188" s="24">
        <f t="shared" si="13"/>
        <v>-0.009033535453532969</v>
      </c>
      <c r="I188" s="8">
        <f aca="true" t="shared" si="24" ref="I188:I193">(F188-$F$3)/$F$3</f>
        <v>0.3956082258626701</v>
      </c>
    </row>
    <row r="189" spans="1:9" ht="18.75">
      <c r="A189" s="10" t="s">
        <v>373</v>
      </c>
      <c r="B189" s="7">
        <v>10.211593944009225</v>
      </c>
      <c r="C189" s="23">
        <f t="shared" si="14"/>
        <v>-0.011586545613631927</v>
      </c>
      <c r="D189" s="24">
        <f t="shared" si="18"/>
        <v>-0.0011333601735186978</v>
      </c>
      <c r="E189" s="8">
        <f t="shared" si="23"/>
        <v>0.008272995734093602</v>
      </c>
      <c r="F189" s="3">
        <v>478.29</v>
      </c>
      <c r="G189" s="25">
        <f t="shared" si="12"/>
        <v>-2.1899999999999977</v>
      </c>
      <c r="H189" s="24">
        <f t="shared" si="13"/>
        <v>-0.004557942057942053</v>
      </c>
      <c r="I189" s="8">
        <f t="shared" si="24"/>
        <v>0.3892471244336007</v>
      </c>
    </row>
    <row r="190" spans="1:9" ht="18.75">
      <c r="A190" s="10" t="s">
        <v>375</v>
      </c>
      <c r="B190" s="7">
        <v>9.977545722613883</v>
      </c>
      <c r="C190" s="23">
        <f t="shared" si="14"/>
        <v>-0.23404822139534254</v>
      </c>
      <c r="D190" s="24">
        <f t="shared" si="18"/>
        <v>-0.022919851952461368</v>
      </c>
      <c r="E190" s="8">
        <f t="shared" si="23"/>
        <v>-0.014836472055796537</v>
      </c>
      <c r="F190" s="3">
        <v>474.9</v>
      </c>
      <c r="G190" s="25">
        <f t="shared" si="12"/>
        <v>-3.390000000000043</v>
      </c>
      <c r="H190" s="24">
        <f t="shared" si="13"/>
        <v>-0.007087750109766131</v>
      </c>
      <c r="I190" s="8">
        <f t="shared" si="24"/>
        <v>0.37940048797490417</v>
      </c>
    </row>
    <row r="191" spans="1:9" ht="18.75">
      <c r="A191" s="10" t="s">
        <v>377</v>
      </c>
      <c r="B191" s="7">
        <v>10.100363106118369</v>
      </c>
      <c r="C191" s="23">
        <f t="shared" si="14"/>
        <v>0.12281738350448634</v>
      </c>
      <c r="D191" s="24">
        <f t="shared" si="18"/>
        <v>0.012309378169635796</v>
      </c>
      <c r="E191" s="8">
        <f t="shared" si="23"/>
        <v>-0.002709721631398774</v>
      </c>
      <c r="F191" s="3">
        <v>484.11</v>
      </c>
      <c r="G191" s="25">
        <f t="shared" si="12"/>
        <v>9.210000000000036</v>
      </c>
      <c r="H191" s="24">
        <f t="shared" si="13"/>
        <v>0.01939355653821865</v>
      </c>
      <c r="I191" s="8">
        <f t="shared" si="24"/>
        <v>0.4061519693272919</v>
      </c>
    </row>
    <row r="192" spans="1:9" ht="18.75">
      <c r="A192" s="10" t="s">
        <v>379</v>
      </c>
      <c r="B192" s="7">
        <v>10.192283034653174</v>
      </c>
      <c r="C192" s="23">
        <f t="shared" si="14"/>
        <v>0.09191992853480535</v>
      </c>
      <c r="D192" s="24">
        <f t="shared" si="18"/>
        <v>0.009100655844652177</v>
      </c>
      <c r="E192" s="8">
        <f t="shared" si="23"/>
        <v>0.0063662739692512335</v>
      </c>
      <c r="F192" s="3">
        <v>491.54</v>
      </c>
      <c r="G192" s="25">
        <f t="shared" si="12"/>
        <v>7.430000000000007</v>
      </c>
      <c r="H192" s="24">
        <f t="shared" si="13"/>
        <v>0.015347751544070577</v>
      </c>
      <c r="I192" s="8">
        <f t="shared" si="24"/>
        <v>0.42773324038573274</v>
      </c>
    </row>
    <row r="193" spans="1:9" ht="18.75">
      <c r="A193" s="10" t="s">
        <v>382</v>
      </c>
      <c r="B193" s="7">
        <v>10.46086847755981</v>
      </c>
      <c r="C193" s="23">
        <f t="shared" si="14"/>
        <v>0.26858544290663566</v>
      </c>
      <c r="D193" s="24">
        <f t="shared" si="18"/>
        <v>0.02635184305552158</v>
      </c>
      <c r="E193" s="8">
        <f t="shared" si="23"/>
        <v>0.032885880077258976</v>
      </c>
      <c r="F193" s="3">
        <v>494.84</v>
      </c>
      <c r="G193" s="25">
        <f t="shared" si="12"/>
        <v>3.2999999999999545</v>
      </c>
      <c r="H193" s="24">
        <f t="shared" si="13"/>
        <v>0.006713594010660281</v>
      </c>
      <c r="I193" s="8">
        <f t="shared" si="24"/>
        <v>0.43731846171720695</v>
      </c>
    </row>
    <row r="194" spans="1:9" ht="18.75">
      <c r="A194" s="10" t="s">
        <v>384</v>
      </c>
      <c r="B194" s="7">
        <v>10.317195311950789</v>
      </c>
      <c r="C194" s="23">
        <f t="shared" si="14"/>
        <v>-0.14367316560902132</v>
      </c>
      <c r="D194" s="24">
        <f t="shared" si="18"/>
        <v>-0.013734343942591633</v>
      </c>
      <c r="E194" s="8">
        <f>(B194-$B$3)/$B$3</f>
        <v>0.018699870146831447</v>
      </c>
      <c r="F194" s="3">
        <v>489.99</v>
      </c>
      <c r="G194" s="25">
        <f t="shared" si="12"/>
        <v>-4.849999999999966</v>
      </c>
      <c r="H194" s="24">
        <f t="shared" si="13"/>
        <v>-0.00980114784576826</v>
      </c>
      <c r="I194" s="8">
        <f>(F194-$F$3)/$F$3</f>
        <v>0.4232310909724644</v>
      </c>
    </row>
    <row r="195" spans="1:9" ht="18.75">
      <c r="A195" s="10" t="s">
        <v>386</v>
      </c>
      <c r="B195" s="7">
        <v>10.632435093079089</v>
      </c>
      <c r="C195" s="23">
        <f t="shared" si="14"/>
        <v>0.31523978112829987</v>
      </c>
      <c r="D195" s="24">
        <f t="shared" si="18"/>
        <v>0.030554794359969707</v>
      </c>
      <c r="E195" s="8">
        <f>(B195-$B$3)/$B$3</f>
        <v>0.049826035193695724</v>
      </c>
      <c r="F195" s="3">
        <v>489.77</v>
      </c>
      <c r="G195" s="25">
        <f t="shared" si="12"/>
        <v>-0.22000000000002728</v>
      </c>
      <c r="H195" s="24">
        <f t="shared" si="13"/>
        <v>-0.0004489887548726041</v>
      </c>
      <c r="I195" s="8">
        <f>(F195-$F$3)/$F$3</f>
        <v>0.4225920762170327</v>
      </c>
    </row>
    <row r="196" spans="1:9" ht="18.75">
      <c r="A196" s="10" t="s">
        <v>391</v>
      </c>
      <c r="B196" s="7">
        <v>10.64890401590521</v>
      </c>
      <c r="C196" s="23">
        <f t="shared" si="14"/>
        <v>0.016468922826121002</v>
      </c>
      <c r="D196" s="24">
        <f t="shared" si="18"/>
        <v>0.0015489323642183365</v>
      </c>
      <c r="E196" s="8">
        <f>(B196-$B$3)/$B$3</f>
        <v>0.05145214471640626</v>
      </c>
      <c r="F196" s="3">
        <v>498.38</v>
      </c>
      <c r="G196" s="25">
        <f t="shared" si="12"/>
        <v>8.610000000000014</v>
      </c>
      <c r="H196" s="24">
        <f t="shared" si="13"/>
        <v>0.017579680258080353</v>
      </c>
      <c r="I196" s="8">
        <f>(F196-$F$3)/$F$3</f>
        <v>0.4476007900546068</v>
      </c>
    </row>
    <row r="197" spans="1:9" ht="18.75">
      <c r="A197" s="10" t="s">
        <v>395</v>
      </c>
      <c r="B197" s="7">
        <v>10.930078734980334</v>
      </c>
      <c r="C197" s="23">
        <f t="shared" si="14"/>
        <v>0.2811747190751248</v>
      </c>
      <c r="D197" s="24">
        <f t="shared" si="18"/>
        <v>0.026404099300281238</v>
      </c>
      <c r="E197" s="8">
        <f>(B197-$B$3)/$B$3</f>
        <v>0.07921479155499193</v>
      </c>
      <c r="F197" s="3">
        <v>503.8</v>
      </c>
      <c r="G197" s="25">
        <f t="shared" si="12"/>
        <v>5.420000000000016</v>
      </c>
      <c r="H197" s="24">
        <f t="shared" si="13"/>
        <v>0.010875235763874986</v>
      </c>
      <c r="I197" s="8">
        <f>(F197-$F$3)/$F$3</f>
        <v>0.46334378993842235</v>
      </c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344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303</v>
      </c>
      <c r="B3" s="30">
        <v>11500</v>
      </c>
      <c r="C3" s="34">
        <v>2.74</v>
      </c>
      <c r="D3" s="31">
        <v>3.04</v>
      </c>
      <c r="E3" s="31">
        <f aca="true" t="shared" si="0" ref="E3:E8">$B3*$D3</f>
        <v>34960</v>
      </c>
      <c r="F3" s="32">
        <f aca="true" t="shared" si="1" ref="F3:F8">$E3/$E$19</f>
        <v>0.24902663530338603</v>
      </c>
      <c r="G3" s="31">
        <f aca="true" t="shared" si="2" ref="G3:G8">$E3-($B3*$C3)</f>
        <v>3449.9999999999964</v>
      </c>
      <c r="I3" s="33"/>
    </row>
    <row r="4" spans="1:9" s="28" customFormat="1" ht="15" customHeight="1">
      <c r="A4" s="29" t="s">
        <v>304</v>
      </c>
      <c r="B4" s="30">
        <v>4000</v>
      </c>
      <c r="C4" s="34">
        <v>9.15</v>
      </c>
      <c r="D4" s="31">
        <v>9.2</v>
      </c>
      <c r="E4" s="31">
        <f t="shared" si="0"/>
        <v>36800</v>
      </c>
      <c r="F4" s="32">
        <f t="shared" si="1"/>
        <v>0.2621333003193537</v>
      </c>
      <c r="G4" s="31">
        <f t="shared" si="2"/>
        <v>200</v>
      </c>
      <c r="I4" s="33"/>
    </row>
    <row r="5" spans="1:9" s="28" customFormat="1" ht="15" customHeight="1">
      <c r="A5" s="29" t="s">
        <v>324</v>
      </c>
      <c r="B5" s="30">
        <v>600</v>
      </c>
      <c r="C5" s="34">
        <v>25.31</v>
      </c>
      <c r="D5" s="31">
        <v>25</v>
      </c>
      <c r="E5" s="31">
        <f t="shared" si="0"/>
        <v>15000</v>
      </c>
      <c r="F5" s="32">
        <f t="shared" si="1"/>
        <v>0.10684781263017136</v>
      </c>
      <c r="G5" s="31">
        <f t="shared" si="2"/>
        <v>-186</v>
      </c>
      <c r="I5" s="33"/>
    </row>
    <row r="6" spans="1:9" s="28" customFormat="1" ht="15" customHeight="1">
      <c r="A6" s="29" t="s">
        <v>283</v>
      </c>
      <c r="B6" s="30">
        <v>2000</v>
      </c>
      <c r="C6" s="34">
        <v>8.52</v>
      </c>
      <c r="D6" s="31">
        <v>9</v>
      </c>
      <c r="E6" s="31">
        <f t="shared" si="0"/>
        <v>18000</v>
      </c>
      <c r="F6" s="32">
        <f t="shared" si="1"/>
        <v>0.12821737515620563</v>
      </c>
      <c r="G6" s="31">
        <f t="shared" si="2"/>
        <v>960</v>
      </c>
      <c r="I6" s="33"/>
    </row>
    <row r="7" spans="1:9" s="28" customFormat="1" ht="15" customHeight="1">
      <c r="A7" s="29" t="s">
        <v>336</v>
      </c>
      <c r="B7" s="30">
        <v>2000</v>
      </c>
      <c r="C7" s="34">
        <v>2.51</v>
      </c>
      <c r="D7" s="31">
        <v>2.7</v>
      </c>
      <c r="E7" s="31">
        <f t="shared" si="0"/>
        <v>5400</v>
      </c>
      <c r="F7" s="32">
        <f t="shared" si="1"/>
        <v>0.038465212546861687</v>
      </c>
      <c r="G7" s="31">
        <f t="shared" si="2"/>
        <v>380</v>
      </c>
      <c r="I7" s="33"/>
    </row>
    <row r="8" spans="1:9" s="28" customFormat="1" ht="15" customHeight="1">
      <c r="A8" s="29" t="s">
        <v>340</v>
      </c>
      <c r="B8" s="30">
        <v>500</v>
      </c>
      <c r="C8" s="34">
        <v>25.79</v>
      </c>
      <c r="D8" s="31">
        <v>26.5</v>
      </c>
      <c r="E8" s="31">
        <f t="shared" si="0"/>
        <v>13250</v>
      </c>
      <c r="F8" s="32">
        <f t="shared" si="1"/>
        <v>0.0943822344899847</v>
      </c>
      <c r="G8" s="31">
        <f t="shared" si="2"/>
        <v>355</v>
      </c>
      <c r="I8" s="33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SUM($E3:$E9)</f>
        <v>123410</v>
      </c>
      <c r="F10" s="38">
        <f>SUM($F3:$F9)</f>
        <v>0.8790725704459632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12548.24280000001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0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4428.346599999999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16976.58940000001</v>
      </c>
      <c r="F17" s="38">
        <f>$E17/$E$19</f>
        <v>0.12092742955403696</v>
      </c>
      <c r="G17" s="52">
        <v>37823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140386.5894</v>
      </c>
      <c r="F19" s="38">
        <f>SUM($F10,$F17)</f>
        <v>1.0000000000000002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</f>
        <v>13486.4201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10.409477708617427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11376.48-1400-500-1021.85-400-400+234-500-360-500-500-500-2500-600-1000+311.615-500+4000-4000+5000-2500</f>
        <v>3740.244999999999</v>
      </c>
      <c r="G23" s="51"/>
    </row>
    <row r="24" spans="1:5" ht="15" customHeight="1">
      <c r="A24" s="113" t="s">
        <v>329</v>
      </c>
      <c r="B24" s="113"/>
      <c r="C24" s="113"/>
      <c r="D24" s="42"/>
      <c r="E24" s="37">
        <v>18502.61310000001</v>
      </c>
    </row>
    <row r="25" spans="1:5" ht="15" customHeight="1">
      <c r="A25" s="114" t="s">
        <v>185</v>
      </c>
      <c r="B25" s="114"/>
      <c r="C25" s="47"/>
      <c r="D25" s="47"/>
      <c r="E25" s="48">
        <f>SUM($E$23:$E$24)</f>
        <v>22242.85810000001</v>
      </c>
    </row>
    <row r="26" spans="1:5" ht="15" customHeight="1">
      <c r="A26" s="110" t="s">
        <v>184</v>
      </c>
      <c r="B26" s="110"/>
      <c r="C26" s="49"/>
      <c r="D26" s="49"/>
      <c r="E26" s="50">
        <f>$E$19+$E$23</f>
        <v>144126.8344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C24"/>
    <mergeCell ref="A25:B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1" sqref="E21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348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303</v>
      </c>
      <c r="B3" s="30">
        <v>2000</v>
      </c>
      <c r="C3" s="34">
        <v>2.74</v>
      </c>
      <c r="D3" s="31">
        <v>3.08</v>
      </c>
      <c r="E3" s="31">
        <f>$B3*$D3</f>
        <v>6160</v>
      </c>
      <c r="F3" s="32">
        <f>$E3/$E$19</f>
        <v>0.04349545600358578</v>
      </c>
      <c r="G3" s="31">
        <f>$E3-($B3*$C3)</f>
        <v>680</v>
      </c>
      <c r="I3" s="33"/>
    </row>
    <row r="4" spans="1:9" s="28" customFormat="1" ht="15" customHeight="1">
      <c r="A4" s="29" t="s">
        <v>304</v>
      </c>
      <c r="B4" s="30">
        <v>4000</v>
      </c>
      <c r="C4" s="34">
        <v>9.15</v>
      </c>
      <c r="D4" s="31">
        <v>9.1</v>
      </c>
      <c r="E4" s="31">
        <f>$B4*$D4</f>
        <v>36400</v>
      </c>
      <c r="F4" s="32">
        <f>$E4/$E$19</f>
        <v>0.25701860365755236</v>
      </c>
      <c r="G4" s="31">
        <f>$E4-($B4*$C4)</f>
        <v>-200</v>
      </c>
      <c r="I4" s="33"/>
    </row>
    <row r="5" spans="1:9" s="28" customFormat="1" ht="15" customHeight="1">
      <c r="A5" s="29" t="s">
        <v>324</v>
      </c>
      <c r="B5" s="30">
        <v>600</v>
      </c>
      <c r="C5" s="34">
        <v>25.31</v>
      </c>
      <c r="D5" s="31">
        <v>25.5</v>
      </c>
      <c r="E5" s="31">
        <f>$B5*$D5</f>
        <v>15300</v>
      </c>
      <c r="F5" s="32">
        <f>$E5/$E$19</f>
        <v>0.10803254494397117</v>
      </c>
      <c r="G5" s="31">
        <f>$E5-($B5*$C5)</f>
        <v>114</v>
      </c>
      <c r="I5" s="33"/>
    </row>
    <row r="6" spans="1:9" s="28" customFormat="1" ht="15" customHeight="1">
      <c r="A6" s="29" t="s">
        <v>340</v>
      </c>
      <c r="B6" s="30">
        <v>800</v>
      </c>
      <c r="C6" s="34">
        <v>26.25</v>
      </c>
      <c r="D6" s="31">
        <v>26.25</v>
      </c>
      <c r="E6" s="31">
        <f>$B6*$D6</f>
        <v>21000</v>
      </c>
      <c r="F6" s="32">
        <f>$E6/$E$19</f>
        <v>0.1482799636485879</v>
      </c>
      <c r="G6" s="31">
        <f>$E6-($B6*$C6)</f>
        <v>0</v>
      </c>
      <c r="I6" s="33"/>
    </row>
    <row r="7" spans="1:9" s="28" customFormat="1" ht="15" customHeight="1">
      <c r="A7" s="29" t="s">
        <v>336</v>
      </c>
      <c r="B7" s="30">
        <v>2000</v>
      </c>
      <c r="C7" s="34">
        <v>2.61</v>
      </c>
      <c r="D7" s="31">
        <v>2.54</v>
      </c>
      <c r="E7" s="31">
        <f>$B7*$D7</f>
        <v>5080</v>
      </c>
      <c r="F7" s="32">
        <f>$E7/$E$19</f>
        <v>0.03586962930165841</v>
      </c>
      <c r="G7" s="31">
        <f>$E7-($B7*$C7)</f>
        <v>-140</v>
      </c>
      <c r="I7" s="33"/>
    </row>
    <row r="8" spans="1:9" s="28" customFormat="1" ht="15" customHeight="1">
      <c r="A8" s="29"/>
      <c r="B8" s="30"/>
      <c r="C8" s="34"/>
      <c r="D8" s="31"/>
      <c r="E8" s="31"/>
      <c r="F8" s="32"/>
      <c r="G8" s="31"/>
      <c r="I8" s="33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SUM($E3:$E9)</f>
        <v>83940</v>
      </c>
      <c r="F10" s="38">
        <f>SUM($F3:$F9)</f>
        <v>0.5926961975553556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16976.58940000001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0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40707.4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57683.98940000001</v>
      </c>
      <c r="F17" s="38">
        <f>$E17/$E$19</f>
        <v>0.40730380244464437</v>
      </c>
      <c r="G17" s="52">
        <v>37824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141623.98940000002</v>
      </c>
      <c r="F19" s="38">
        <f>SUM($F10,$F17)</f>
        <v>1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</f>
        <v>13486.4201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10.501229262463804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11376.48-1400-500-1021.85-400-400+234-500-360-500-500-500-2500-600-1000+311.615-500+4000-4000+5000-2500-1000</f>
        <v>2740.244999999999</v>
      </c>
      <c r="G23" s="51"/>
    </row>
    <row r="24" spans="1:5" ht="15" customHeight="1">
      <c r="A24" s="113" t="s">
        <v>329</v>
      </c>
      <c r="B24" s="113"/>
      <c r="C24" s="113"/>
      <c r="D24" s="42"/>
      <c r="E24" s="37">
        <v>19049.1131</v>
      </c>
    </row>
    <row r="25" spans="1:5" ht="15" customHeight="1">
      <c r="A25" s="114" t="s">
        <v>185</v>
      </c>
      <c r="B25" s="114"/>
      <c r="C25" s="47"/>
      <c r="D25" s="47"/>
      <c r="E25" s="48">
        <f>SUM($E$23:$E$24)</f>
        <v>21789.358099999998</v>
      </c>
    </row>
    <row r="26" spans="1:5" ht="15" customHeight="1">
      <c r="A26" s="110" t="s">
        <v>184</v>
      </c>
      <c r="B26" s="110"/>
      <c r="C26" s="49"/>
      <c r="D26" s="49"/>
      <c r="E26" s="50">
        <f>$E$19+$E$23</f>
        <v>144364.23440000002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C24"/>
    <mergeCell ref="A25:B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351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4000</v>
      </c>
      <c r="C3" s="34">
        <v>9.15</v>
      </c>
      <c r="D3" s="31">
        <v>9.05</v>
      </c>
      <c r="E3" s="31">
        <f>$B3*$D3</f>
        <v>36200</v>
      </c>
      <c r="F3" s="32">
        <f>$E3/$E$19</f>
        <v>0.25652747373032175</v>
      </c>
      <c r="G3" s="31">
        <f>$E3-($B3*$C3)</f>
        <v>-400</v>
      </c>
      <c r="I3" s="33"/>
    </row>
    <row r="4" spans="1:9" s="28" customFormat="1" ht="15" customHeight="1">
      <c r="A4" s="29" t="s">
        <v>324</v>
      </c>
      <c r="B4" s="30">
        <v>800</v>
      </c>
      <c r="C4" s="34">
        <v>25.4</v>
      </c>
      <c r="D4" s="31">
        <v>25.25</v>
      </c>
      <c r="E4" s="31">
        <f>$B4*$D4</f>
        <v>20200</v>
      </c>
      <c r="F4" s="32">
        <f>$E4/$E$19</f>
        <v>0.1431451648992403</v>
      </c>
      <c r="G4" s="31">
        <f>$E4-($B4*$C4)</f>
        <v>-120</v>
      </c>
      <c r="I4" s="33"/>
    </row>
    <row r="5" spans="1:9" s="28" customFormat="1" ht="15" customHeight="1">
      <c r="A5" s="29" t="s">
        <v>340</v>
      </c>
      <c r="B5" s="30">
        <v>900</v>
      </c>
      <c r="C5" s="34">
        <v>26.25</v>
      </c>
      <c r="D5" s="31">
        <v>26</v>
      </c>
      <c r="E5" s="31">
        <f>$B5*$D5</f>
        <v>23400</v>
      </c>
      <c r="F5" s="32">
        <f>$E5/$E$19</f>
        <v>0.16582162666545658</v>
      </c>
      <c r="G5" s="31">
        <f>$E5-($B5*$C5)</f>
        <v>-225</v>
      </c>
      <c r="I5" s="33"/>
    </row>
    <row r="6" spans="1:9" s="28" customFormat="1" ht="15" customHeight="1">
      <c r="A6" s="29" t="s">
        <v>336</v>
      </c>
      <c r="B6" s="30">
        <v>2000</v>
      </c>
      <c r="C6" s="34">
        <v>2.61</v>
      </c>
      <c r="D6" s="31">
        <v>2.58</v>
      </c>
      <c r="E6" s="31">
        <f>$B6*$D6</f>
        <v>5160</v>
      </c>
      <c r="F6" s="32">
        <f>$E6/$E$19</f>
        <v>0.03656579459802376</v>
      </c>
      <c r="G6" s="31">
        <f>$E6-($B6*$C6)</f>
        <v>-60</v>
      </c>
      <c r="I6" s="33"/>
    </row>
    <row r="7" spans="1:9" s="28" customFormat="1" ht="15" customHeight="1">
      <c r="A7" s="29" t="s">
        <v>352</v>
      </c>
      <c r="B7" s="30">
        <v>100</v>
      </c>
      <c r="C7" s="34">
        <v>26.6</v>
      </c>
      <c r="D7" s="31">
        <v>26.25</v>
      </c>
      <c r="E7" s="31">
        <f>$B7*$D7</f>
        <v>2625</v>
      </c>
      <c r="F7" s="32">
        <f>$E7/$E$19</f>
        <v>0.018601785042599298</v>
      </c>
      <c r="G7" s="31">
        <f>$E7-($B7*$C7)</f>
        <v>-35</v>
      </c>
      <c r="I7" s="33"/>
    </row>
    <row r="8" spans="1:9" s="28" customFormat="1" ht="15" customHeight="1">
      <c r="A8" s="29"/>
      <c r="B8" s="30"/>
      <c r="C8" s="34"/>
      <c r="D8" s="31"/>
      <c r="E8" s="31"/>
      <c r="F8" s="32"/>
      <c r="G8" s="31"/>
      <c r="I8" s="33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SUM($E3:$E9)</f>
        <v>87585</v>
      </c>
      <c r="F10" s="38">
        <f>SUM($F3:$F9)</f>
        <v>0.6206618449356417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57683.98940000001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-4153.5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53530.48940000001</v>
      </c>
      <c r="F17" s="38">
        <f>$E17/$E$19</f>
        <v>0.37933815506435825</v>
      </c>
      <c r="G17" s="52">
        <v>37825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141115.48940000002</v>
      </c>
      <c r="F19" s="38">
        <f>SUM($F10,$F17)</f>
        <v>1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</f>
        <v>13486.4201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10.46352466804738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11376.48-1400-500-1021.85-400-400+234-500-360-500-500-500-2500-600-1000+311.615-500+4000-4000+5000-2500-1000</f>
        <v>2740.244999999999</v>
      </c>
      <c r="G23" s="51"/>
    </row>
    <row r="24" spans="1:5" ht="15" customHeight="1">
      <c r="A24" s="113" t="s">
        <v>329</v>
      </c>
      <c r="B24" s="113"/>
      <c r="C24" s="113"/>
      <c r="D24" s="42"/>
      <c r="E24" s="37">
        <v>12548.24280000001</v>
      </c>
    </row>
    <row r="25" spans="1:5" ht="15" customHeight="1">
      <c r="A25" s="114" t="s">
        <v>185</v>
      </c>
      <c r="B25" s="114"/>
      <c r="C25" s="47"/>
      <c r="D25" s="47"/>
      <c r="E25" s="48">
        <f>SUM($E$23:$E$24)</f>
        <v>15288.48780000001</v>
      </c>
    </row>
    <row r="26" spans="1:5" ht="15" customHeight="1">
      <c r="A26" s="110" t="s">
        <v>184</v>
      </c>
      <c r="B26" s="110"/>
      <c r="C26" s="49"/>
      <c r="D26" s="49"/>
      <c r="E26" s="50">
        <f>$E$19+$E$23</f>
        <v>143855.73440000002</v>
      </c>
    </row>
  </sheetData>
  <mergeCells count="13">
    <mergeCell ref="A26:B26"/>
    <mergeCell ref="A21:B21"/>
    <mergeCell ref="A23:B23"/>
    <mergeCell ref="A24:C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356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4000</v>
      </c>
      <c r="C3" s="34">
        <v>9.15</v>
      </c>
      <c r="D3" s="31">
        <v>8.95</v>
      </c>
      <c r="E3" s="31">
        <f aca="true" t="shared" si="0" ref="E3:E9">$B3*$D3</f>
        <v>35800</v>
      </c>
      <c r="F3" s="32">
        <f aca="true" t="shared" si="1" ref="F3:F9">$E3/$E$19</f>
        <v>0.254476518110341</v>
      </c>
      <c r="G3" s="31">
        <f aca="true" t="shared" si="2" ref="G3:G9">$E3-($B3*$C3)</f>
        <v>-800</v>
      </c>
      <c r="I3" s="33"/>
    </row>
    <row r="4" spans="1:9" s="28" customFormat="1" ht="15" customHeight="1">
      <c r="A4" s="29" t="s">
        <v>324</v>
      </c>
      <c r="B4" s="30">
        <v>800</v>
      </c>
      <c r="C4" s="34">
        <v>25.4</v>
      </c>
      <c r="D4" s="31">
        <v>25.25</v>
      </c>
      <c r="E4" s="31">
        <f t="shared" si="0"/>
        <v>20200</v>
      </c>
      <c r="F4" s="32">
        <f t="shared" si="1"/>
        <v>0.1435873091013656</v>
      </c>
      <c r="G4" s="31">
        <f t="shared" si="2"/>
        <v>-120</v>
      </c>
      <c r="I4" s="33"/>
    </row>
    <row r="5" spans="1:9" s="28" customFormat="1" ht="15" customHeight="1">
      <c r="A5" s="29" t="s">
        <v>340</v>
      </c>
      <c r="B5" s="30">
        <v>700</v>
      </c>
      <c r="C5" s="34">
        <v>26.25</v>
      </c>
      <c r="D5" s="31">
        <v>26.25</v>
      </c>
      <c r="E5" s="31">
        <f t="shared" si="0"/>
        <v>18375</v>
      </c>
      <c r="F5" s="32">
        <f t="shared" si="1"/>
        <v>0.13061469330384123</v>
      </c>
      <c r="G5" s="31">
        <f t="shared" si="2"/>
        <v>0</v>
      </c>
      <c r="I5" s="33"/>
    </row>
    <row r="6" spans="1:9" s="28" customFormat="1" ht="15" customHeight="1">
      <c r="A6" s="29" t="s">
        <v>336</v>
      </c>
      <c r="B6" s="30">
        <v>2000</v>
      </c>
      <c r="C6" s="34">
        <v>2.61</v>
      </c>
      <c r="D6" s="31">
        <v>2.58</v>
      </c>
      <c r="E6" s="31">
        <f t="shared" si="0"/>
        <v>5160</v>
      </c>
      <c r="F6" s="32">
        <f t="shared" si="1"/>
        <v>0.03667873836450725</v>
      </c>
      <c r="G6" s="31">
        <f t="shared" si="2"/>
        <v>-60</v>
      </c>
      <c r="I6" s="33"/>
    </row>
    <row r="7" spans="1:9" s="28" customFormat="1" ht="15" customHeight="1">
      <c r="A7" s="29" t="s">
        <v>352</v>
      </c>
      <c r="B7" s="30">
        <v>400</v>
      </c>
      <c r="C7" s="34">
        <v>26.9</v>
      </c>
      <c r="D7" s="31">
        <v>26.5</v>
      </c>
      <c r="E7" s="31">
        <f t="shared" si="0"/>
        <v>10600</v>
      </c>
      <c r="F7" s="32">
        <f t="shared" si="1"/>
        <v>0.07534779586507304</v>
      </c>
      <c r="G7" s="31">
        <f t="shared" si="2"/>
        <v>-160</v>
      </c>
      <c r="I7" s="33"/>
    </row>
    <row r="8" spans="1:9" s="28" customFormat="1" ht="15" customHeight="1">
      <c r="A8" s="29" t="s">
        <v>303</v>
      </c>
      <c r="B8" s="30">
        <v>1500</v>
      </c>
      <c r="C8" s="34">
        <v>3.074</v>
      </c>
      <c r="D8" s="31">
        <v>3.06</v>
      </c>
      <c r="E8" s="31">
        <f t="shared" si="0"/>
        <v>4590</v>
      </c>
      <c r="F8" s="32">
        <f t="shared" si="1"/>
        <v>0.032627017266102384</v>
      </c>
      <c r="G8" s="31">
        <f t="shared" si="2"/>
        <v>-21</v>
      </c>
      <c r="I8" s="33"/>
    </row>
    <row r="9" spans="1:7" s="28" customFormat="1" ht="15" customHeight="1">
      <c r="A9" s="29" t="s">
        <v>341</v>
      </c>
      <c r="B9" s="30">
        <v>600</v>
      </c>
      <c r="C9" s="31">
        <v>17.6</v>
      </c>
      <c r="D9" s="31">
        <v>17.5</v>
      </c>
      <c r="E9" s="35">
        <f t="shared" si="0"/>
        <v>10500</v>
      </c>
      <c r="F9" s="32">
        <f t="shared" si="1"/>
        <v>0.07463696760219499</v>
      </c>
      <c r="G9" s="35">
        <f t="shared" si="2"/>
        <v>-60</v>
      </c>
    </row>
    <row r="10" spans="1:7" s="28" customFormat="1" ht="15" customHeight="1">
      <c r="A10" s="106" t="s">
        <v>35</v>
      </c>
      <c r="B10" s="106"/>
      <c r="C10" s="36"/>
      <c r="D10" s="36"/>
      <c r="E10" s="37">
        <f>SUM($E3:$E9)</f>
        <v>105225</v>
      </c>
      <c r="F10" s="38">
        <f>SUM($F3:$F9)</f>
        <v>0.7479690396134255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53530.48940000001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-18074.5328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35455.95660000001</v>
      </c>
      <c r="F17" s="38">
        <f>$E17/$E$19</f>
        <v>0.2520309603865745</v>
      </c>
      <c r="G17" s="52">
        <v>37826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140680.9566</v>
      </c>
      <c r="F19" s="38">
        <f>SUM($F10,$F17)</f>
        <v>1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</f>
        <v>13486.4201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10.431304642512211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11376.48-1400-500-1021.85-400-400+234-500-360-500-500-500-2500-600-1000+311.615-500+4000-4000+5000-2500-1000</f>
        <v>2740.244999999999</v>
      </c>
      <c r="G23" s="51"/>
    </row>
    <row r="24" spans="1:5" ht="15" customHeight="1">
      <c r="A24" s="113" t="s">
        <v>329</v>
      </c>
      <c r="B24" s="113"/>
      <c r="C24" s="113"/>
      <c r="D24" s="42"/>
      <c r="E24" s="37">
        <v>16976.58940000001</v>
      </c>
    </row>
    <row r="25" spans="1:5" ht="15" customHeight="1">
      <c r="A25" s="114" t="s">
        <v>185</v>
      </c>
      <c r="B25" s="114"/>
      <c r="C25" s="47"/>
      <c r="D25" s="47"/>
      <c r="E25" s="48">
        <f>SUM($E$23:$E$24)</f>
        <v>19716.83440000001</v>
      </c>
    </row>
    <row r="26" spans="1:5" ht="15" customHeight="1">
      <c r="A26" s="110" t="s">
        <v>184</v>
      </c>
      <c r="B26" s="110"/>
      <c r="C26" s="49"/>
      <c r="D26" s="49"/>
      <c r="E26" s="50">
        <f>$E$19+$E$23</f>
        <v>143421.2016</v>
      </c>
    </row>
  </sheetData>
  <mergeCells count="13">
    <mergeCell ref="A26:B26"/>
    <mergeCell ref="A21:B21"/>
    <mergeCell ref="A23:B23"/>
    <mergeCell ref="A24:C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18" sqref="E18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359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4000</v>
      </c>
      <c r="C3" s="34">
        <v>9.17</v>
      </c>
      <c r="D3" s="31">
        <v>9.05</v>
      </c>
      <c r="E3" s="31">
        <f aca="true" t="shared" si="0" ref="E3:E10">$B3*$D3</f>
        <v>36200</v>
      </c>
      <c r="F3" s="32">
        <f aca="true" t="shared" si="1" ref="F3:F10">$E3/$E$20</f>
        <v>0.2562696573428181</v>
      </c>
      <c r="G3" s="31">
        <f aca="true" t="shared" si="2" ref="G3:G10">$E3-($B3*$C3)</f>
        <v>-480</v>
      </c>
      <c r="I3" s="33"/>
    </row>
    <row r="4" spans="1:9" s="28" customFormat="1" ht="15" customHeight="1">
      <c r="A4" s="29" t="s">
        <v>283</v>
      </c>
      <c r="B4" s="30">
        <v>1000</v>
      </c>
      <c r="C4" s="34">
        <v>8.6</v>
      </c>
      <c r="D4" s="31">
        <v>8.95</v>
      </c>
      <c r="E4" s="31">
        <f t="shared" si="0"/>
        <v>8950</v>
      </c>
      <c r="F4" s="32">
        <f t="shared" si="1"/>
        <v>0.06335948710547575</v>
      </c>
      <c r="G4" s="31">
        <f t="shared" si="2"/>
        <v>350</v>
      </c>
      <c r="I4" s="33"/>
    </row>
    <row r="5" spans="1:9" s="28" customFormat="1" ht="15" customHeight="1">
      <c r="A5" s="29" t="s">
        <v>324</v>
      </c>
      <c r="B5" s="30">
        <v>800</v>
      </c>
      <c r="C5" s="34">
        <v>25.4</v>
      </c>
      <c r="D5" s="31">
        <v>24.7</v>
      </c>
      <c r="E5" s="31">
        <f t="shared" si="0"/>
        <v>19760</v>
      </c>
      <c r="F5" s="32">
        <f t="shared" si="1"/>
        <v>0.13988642069320678</v>
      </c>
      <c r="G5" s="31">
        <f t="shared" si="2"/>
        <v>-560</v>
      </c>
      <c r="I5" s="33"/>
    </row>
    <row r="6" spans="1:9" s="28" customFormat="1" ht="15" customHeight="1">
      <c r="A6" s="29" t="s">
        <v>340</v>
      </c>
      <c r="B6" s="30">
        <v>700</v>
      </c>
      <c r="C6" s="34">
        <v>26.25</v>
      </c>
      <c r="D6" s="31">
        <v>26.25</v>
      </c>
      <c r="E6" s="31">
        <f t="shared" si="0"/>
        <v>18375</v>
      </c>
      <c r="F6" s="32">
        <f t="shared" si="1"/>
        <v>0.1300816285545382</v>
      </c>
      <c r="G6" s="31">
        <f t="shared" si="2"/>
        <v>0</v>
      </c>
      <c r="I6" s="33"/>
    </row>
    <row r="7" spans="1:7" s="28" customFormat="1" ht="15" customHeight="1">
      <c r="A7" s="29" t="s">
        <v>352</v>
      </c>
      <c r="B7" s="30">
        <v>400</v>
      </c>
      <c r="C7" s="34">
        <v>26.9</v>
      </c>
      <c r="D7" s="31">
        <v>26.5</v>
      </c>
      <c r="E7" s="31">
        <f>$B7*$D7</f>
        <v>10600</v>
      </c>
      <c r="F7" s="32">
        <f>$E7/$E$20</f>
        <v>0.0750402864042506</v>
      </c>
      <c r="G7" s="31">
        <f>$E7-($B7*$C7)</f>
        <v>-160</v>
      </c>
    </row>
    <row r="8" spans="1:9" s="28" customFormat="1" ht="15" customHeight="1">
      <c r="A8" s="29" t="s">
        <v>336</v>
      </c>
      <c r="B8" s="30">
        <v>3000</v>
      </c>
      <c r="C8" s="34">
        <v>2.62</v>
      </c>
      <c r="D8" s="31">
        <v>2.66</v>
      </c>
      <c r="E8" s="31">
        <f>$B8*$D8</f>
        <v>7980</v>
      </c>
      <c r="F8" s="32">
        <f>$E8/$E$20</f>
        <v>0.05649259297225659</v>
      </c>
      <c r="G8" s="31">
        <f>$E8-($B8*$C8)</f>
        <v>120</v>
      </c>
      <c r="I8" s="33"/>
    </row>
    <row r="9" spans="1:9" s="28" customFormat="1" ht="15" customHeight="1">
      <c r="A9" s="29" t="s">
        <v>303</v>
      </c>
      <c r="B9" s="30">
        <v>1500</v>
      </c>
      <c r="C9" s="34">
        <v>3.074</v>
      </c>
      <c r="D9" s="31">
        <v>3.1</v>
      </c>
      <c r="E9" s="31">
        <f t="shared" si="0"/>
        <v>4650</v>
      </c>
      <c r="F9" s="32">
        <f t="shared" si="1"/>
        <v>0.03291861620563823</v>
      </c>
      <c r="G9" s="31">
        <f t="shared" si="2"/>
        <v>39</v>
      </c>
      <c r="I9" s="33"/>
    </row>
    <row r="10" spans="1:7" s="28" customFormat="1" ht="15" customHeight="1">
      <c r="A10" s="29" t="s">
        <v>341</v>
      </c>
      <c r="B10" s="30">
        <v>400</v>
      </c>
      <c r="C10" s="31">
        <v>17.6</v>
      </c>
      <c r="D10" s="31">
        <v>17.5</v>
      </c>
      <c r="E10" s="35">
        <f t="shared" si="0"/>
        <v>7000</v>
      </c>
      <c r="F10" s="32">
        <f t="shared" si="1"/>
        <v>0.04955490611601455</v>
      </c>
      <c r="G10" s="35">
        <f t="shared" si="2"/>
        <v>-40.00000000000091</v>
      </c>
    </row>
    <row r="11" spans="1:7" s="28" customFormat="1" ht="15" customHeight="1">
      <c r="A11" s="106" t="s">
        <v>35</v>
      </c>
      <c r="B11" s="106"/>
      <c r="C11" s="36"/>
      <c r="D11" s="36"/>
      <c r="E11" s="37">
        <f>SUM($E3:$E10)</f>
        <v>113515</v>
      </c>
      <c r="F11" s="38">
        <f>SUM($F3:$F10)</f>
        <v>0.8036035953941988</v>
      </c>
      <c r="G11" s="35"/>
    </row>
    <row r="12" spans="2:7" s="28" customFormat="1" ht="15" customHeight="1">
      <c r="B12" s="39"/>
      <c r="C12" s="40"/>
      <c r="D12" s="40"/>
      <c r="E12" s="40"/>
      <c r="F12" s="40"/>
      <c r="G12" s="40"/>
    </row>
    <row r="13" spans="1:8" s="28" customFormat="1" ht="15" customHeight="1">
      <c r="A13" s="107" t="s">
        <v>17</v>
      </c>
      <c r="B13" s="107"/>
      <c r="C13" s="31"/>
      <c r="D13" s="31"/>
      <c r="E13" s="31">
        <v>35455.95660000001</v>
      </c>
      <c r="F13" s="40"/>
      <c r="G13" s="40"/>
      <c r="H13" s="33"/>
    </row>
    <row r="14" spans="1:7" s="28" customFormat="1" ht="15" customHeight="1">
      <c r="A14" s="41" t="s">
        <v>14</v>
      </c>
      <c r="B14" s="41"/>
      <c r="C14" s="31"/>
      <c r="D14" s="31"/>
      <c r="E14" s="31">
        <v>-7713.5</v>
      </c>
      <c r="F14" s="40"/>
      <c r="G14" s="40"/>
    </row>
    <row r="15" spans="1:7" s="28" customFormat="1" ht="15" customHeight="1">
      <c r="A15" s="107" t="s">
        <v>38</v>
      </c>
      <c r="B15" s="107"/>
      <c r="C15" s="31"/>
      <c r="D15" s="31"/>
      <c r="E15" s="31">
        <v>0</v>
      </c>
      <c r="F15" s="40"/>
      <c r="G15" s="40"/>
    </row>
    <row r="16" spans="1:7" s="28" customFormat="1" ht="15" customHeight="1">
      <c r="A16" s="41" t="s">
        <v>155</v>
      </c>
      <c r="B16" s="41"/>
      <c r="C16" s="31"/>
      <c r="D16" s="31"/>
      <c r="E16" s="31">
        <v>0</v>
      </c>
      <c r="F16" s="40"/>
      <c r="G16" s="40"/>
    </row>
    <row r="17" spans="1:9" s="28" customFormat="1" ht="15" customHeight="1">
      <c r="A17" s="107" t="s">
        <v>137</v>
      </c>
      <c r="B17" s="107"/>
      <c r="C17" s="31"/>
      <c r="D17" s="31"/>
      <c r="E17" s="31">
        <v>0</v>
      </c>
      <c r="F17" s="40"/>
      <c r="G17" s="40"/>
      <c r="I17" s="33"/>
    </row>
    <row r="18" spans="1:7" s="28" customFormat="1" ht="15" customHeight="1">
      <c r="A18" s="108" t="s">
        <v>19</v>
      </c>
      <c r="B18" s="108"/>
      <c r="C18" s="42"/>
      <c r="D18" s="42"/>
      <c r="E18" s="37">
        <f>SUM($E13:$E17)</f>
        <v>27742.456600000012</v>
      </c>
      <c r="F18" s="38">
        <f>$E18/$E$20</f>
        <v>0.19639640460580127</v>
      </c>
      <c r="G18" s="52">
        <v>37827</v>
      </c>
    </row>
    <row r="19" spans="1:5" s="28" customFormat="1" ht="15" customHeight="1">
      <c r="A19" s="43"/>
      <c r="B19" s="43"/>
      <c r="E19" s="40"/>
    </row>
    <row r="20" spans="1:6" s="28" customFormat="1" ht="15" customHeight="1">
      <c r="A20" s="108" t="s">
        <v>20</v>
      </c>
      <c r="B20" s="108"/>
      <c r="C20" s="42"/>
      <c r="D20" s="42"/>
      <c r="E20" s="37">
        <f>SUM($E11,$E18)</f>
        <v>141257.4566</v>
      </c>
      <c r="F20" s="38">
        <f>SUM($F11,$F18)</f>
        <v>1</v>
      </c>
    </row>
    <row r="21" spans="1:7" s="28" customFormat="1" ht="15" customHeight="1">
      <c r="A21" s="109" t="s">
        <v>33</v>
      </c>
      <c r="B21" s="109"/>
      <c r="C21" s="29"/>
      <c r="D21" s="29"/>
      <c r="E21" s="30">
        <f>13963-261-3868+3114+1772+191-195-472-486-535+557-437+1068.68-423.868-501.3919</f>
        <v>13486.4201</v>
      </c>
      <c r="G21" s="33"/>
    </row>
    <row r="22" spans="1:8" s="28" customFormat="1" ht="15" customHeight="1">
      <c r="A22" s="111" t="s">
        <v>34</v>
      </c>
      <c r="B22" s="111"/>
      <c r="C22" s="42"/>
      <c r="D22" s="42"/>
      <c r="E22" s="44">
        <f>E$20/E$21</f>
        <v>10.474051345916475</v>
      </c>
      <c r="F22" s="45"/>
      <c r="G22" s="53"/>
      <c r="H22" s="46"/>
    </row>
    <row r="23" ht="15" customHeight="1">
      <c r="G23" s="51"/>
    </row>
    <row r="24" spans="1:7" ht="15" customHeight="1">
      <c r="A24" s="112" t="s">
        <v>327</v>
      </c>
      <c r="B24" s="112"/>
      <c r="C24" s="29"/>
      <c r="D24" s="29"/>
      <c r="E24" s="54">
        <f>11376.48-1400-500-1021.85-400-400+234-500-360-500-500-500-2500-600-1000+311.615-500+4000-4000+5000-2500-1000</f>
        <v>2740.244999999999</v>
      </c>
      <c r="G24" s="51"/>
    </row>
    <row r="25" spans="1:5" ht="15" customHeight="1">
      <c r="A25" s="113" t="s">
        <v>329</v>
      </c>
      <c r="B25" s="113"/>
      <c r="C25" s="113"/>
      <c r="D25" s="42"/>
      <c r="E25" s="37">
        <v>57683.98940000001</v>
      </c>
    </row>
    <row r="26" spans="1:5" ht="15" customHeight="1">
      <c r="A26" s="114" t="s">
        <v>185</v>
      </c>
      <c r="B26" s="114"/>
      <c r="C26" s="47"/>
      <c r="D26" s="47"/>
      <c r="E26" s="48">
        <f>SUM(E24:E25)</f>
        <v>60424.234400000016</v>
      </c>
    </row>
    <row r="27" spans="1:5" ht="15" customHeight="1">
      <c r="A27" s="110" t="s">
        <v>184</v>
      </c>
      <c r="B27" s="110"/>
      <c r="C27" s="49"/>
      <c r="D27" s="49"/>
      <c r="E27" s="50">
        <f>$E$20+$E$24</f>
        <v>143997.7016</v>
      </c>
    </row>
  </sheetData>
  <mergeCells count="13">
    <mergeCell ref="A27:B27"/>
    <mergeCell ref="A22:B22"/>
    <mergeCell ref="A24:B24"/>
    <mergeCell ref="A25:C25"/>
    <mergeCell ref="A26:B26"/>
    <mergeCell ref="A17:B17"/>
    <mergeCell ref="A18:B18"/>
    <mergeCell ref="A20:B20"/>
    <mergeCell ref="A21:B21"/>
    <mergeCell ref="A1:G1"/>
    <mergeCell ref="A11:B11"/>
    <mergeCell ref="A13:B13"/>
    <mergeCell ref="A15:B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22" sqref="E22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361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5000</v>
      </c>
      <c r="C3" s="34">
        <v>9.05</v>
      </c>
      <c r="D3" s="31">
        <v>8.8</v>
      </c>
      <c r="E3" s="31">
        <f aca="true" t="shared" si="0" ref="E3:E8">$B3*$D3</f>
        <v>44000</v>
      </c>
      <c r="F3" s="32">
        <f aca="true" t="shared" si="1" ref="F3:F8">$E3/$E$20</f>
        <v>0.31590857318128135</v>
      </c>
      <c r="G3" s="31">
        <f aca="true" t="shared" si="2" ref="G3:G8">$E3-($B3*$C3)</f>
        <v>-1250</v>
      </c>
      <c r="I3" s="33"/>
    </row>
    <row r="4" spans="1:9" s="28" customFormat="1" ht="15" customHeight="1">
      <c r="A4" s="29" t="s">
        <v>283</v>
      </c>
      <c r="B4" s="30">
        <v>1000</v>
      </c>
      <c r="C4" s="34">
        <v>8.6</v>
      </c>
      <c r="D4" s="31">
        <v>8.95</v>
      </c>
      <c r="E4" s="31">
        <f t="shared" si="0"/>
        <v>8950</v>
      </c>
      <c r="F4" s="32">
        <f t="shared" si="1"/>
        <v>0.06425867568119246</v>
      </c>
      <c r="G4" s="31">
        <f t="shared" si="2"/>
        <v>350</v>
      </c>
      <c r="I4" s="33"/>
    </row>
    <row r="5" spans="1:9" s="28" customFormat="1" ht="15" customHeight="1">
      <c r="A5" s="29" t="s">
        <v>324</v>
      </c>
      <c r="B5" s="30">
        <v>800</v>
      </c>
      <c r="C5" s="34">
        <v>25.4</v>
      </c>
      <c r="D5" s="31">
        <v>24.7</v>
      </c>
      <c r="E5" s="31">
        <f t="shared" si="0"/>
        <v>19760</v>
      </c>
      <c r="F5" s="32">
        <f t="shared" si="1"/>
        <v>0.14187166831959364</v>
      </c>
      <c r="G5" s="31">
        <f t="shared" si="2"/>
        <v>-560</v>
      </c>
      <c r="I5" s="33"/>
    </row>
    <row r="6" spans="1:9" s="28" customFormat="1" ht="15" customHeight="1">
      <c r="A6" s="29" t="s">
        <v>340</v>
      </c>
      <c r="B6" s="30">
        <v>300</v>
      </c>
      <c r="C6" s="34">
        <v>26.25</v>
      </c>
      <c r="D6" s="31">
        <v>26.5</v>
      </c>
      <c r="E6" s="31">
        <f t="shared" si="0"/>
        <v>7950</v>
      </c>
      <c r="F6" s="32">
        <f t="shared" si="1"/>
        <v>0.05707893538161789</v>
      </c>
      <c r="G6" s="31">
        <f t="shared" si="2"/>
        <v>75</v>
      </c>
      <c r="I6" s="33"/>
    </row>
    <row r="7" spans="1:9" s="28" customFormat="1" ht="15" customHeight="1">
      <c r="A7" s="29" t="s">
        <v>303</v>
      </c>
      <c r="B7" s="30">
        <v>9500</v>
      </c>
      <c r="C7" s="34">
        <v>2.95</v>
      </c>
      <c r="D7" s="31">
        <v>2.86</v>
      </c>
      <c r="E7" s="31">
        <f t="shared" si="0"/>
        <v>27170</v>
      </c>
      <c r="F7" s="32">
        <f t="shared" si="1"/>
        <v>0.19507354393944124</v>
      </c>
      <c r="G7" s="31">
        <f t="shared" si="2"/>
        <v>-855</v>
      </c>
      <c r="I7" s="33"/>
    </row>
    <row r="8" spans="1:7" s="28" customFormat="1" ht="15" customHeight="1">
      <c r="A8" s="29" t="s">
        <v>341</v>
      </c>
      <c r="B8" s="30">
        <v>400</v>
      </c>
      <c r="C8" s="31">
        <v>17.6</v>
      </c>
      <c r="D8" s="31">
        <v>16.4</v>
      </c>
      <c r="E8" s="35">
        <f t="shared" si="0"/>
        <v>6559.999999999999</v>
      </c>
      <c r="F8" s="32">
        <f t="shared" si="1"/>
        <v>0.04709909636520922</v>
      </c>
      <c r="G8" s="35">
        <f t="shared" si="2"/>
        <v>-480.0000000000018</v>
      </c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29"/>
      <c r="B10" s="30"/>
      <c r="C10" s="31"/>
      <c r="D10" s="31"/>
      <c r="E10" s="35"/>
      <c r="F10" s="32"/>
      <c r="G10" s="35"/>
    </row>
    <row r="11" spans="1:7" s="28" customFormat="1" ht="15" customHeight="1">
      <c r="A11" s="106" t="s">
        <v>35</v>
      </c>
      <c r="B11" s="106"/>
      <c r="C11" s="36"/>
      <c r="D11" s="36"/>
      <c r="E11" s="37">
        <f>SUM($E3:$E8)</f>
        <v>114390</v>
      </c>
      <c r="F11" s="38">
        <f>SUM($F3:$F8)</f>
        <v>0.8212904928683358</v>
      </c>
      <c r="G11" s="35"/>
    </row>
    <row r="12" spans="2:7" s="28" customFormat="1" ht="15" customHeight="1">
      <c r="B12" s="39"/>
      <c r="C12" s="40"/>
      <c r="D12" s="40"/>
      <c r="E12" s="40"/>
      <c r="F12" s="40"/>
      <c r="G12" s="40"/>
    </row>
    <row r="13" spans="1:8" s="28" customFormat="1" ht="15" customHeight="1">
      <c r="A13" s="107" t="s">
        <v>17</v>
      </c>
      <c r="B13" s="107"/>
      <c r="C13" s="31"/>
      <c r="D13" s="31"/>
      <c r="E13" s="31">
        <v>27742.456600000012</v>
      </c>
      <c r="F13" s="40"/>
      <c r="G13" s="40"/>
      <c r="H13" s="33"/>
    </row>
    <row r="14" spans="1:7" s="28" customFormat="1" ht="15" customHeight="1">
      <c r="A14" s="41" t="s">
        <v>14</v>
      </c>
      <c r="B14" s="41"/>
      <c r="C14" s="31"/>
      <c r="D14" s="31"/>
      <c r="E14" s="31">
        <v>-2851.6528</v>
      </c>
      <c r="F14" s="40"/>
      <c r="G14" s="40"/>
    </row>
    <row r="15" spans="1:7" s="28" customFormat="1" ht="15" customHeight="1">
      <c r="A15" s="107" t="s">
        <v>38</v>
      </c>
      <c r="B15" s="107"/>
      <c r="C15" s="31"/>
      <c r="D15" s="31"/>
      <c r="E15" s="31">
        <v>0</v>
      </c>
      <c r="F15" s="40"/>
      <c r="G15" s="40"/>
    </row>
    <row r="16" spans="1:7" s="28" customFormat="1" ht="15" customHeight="1">
      <c r="A16" s="41" t="s">
        <v>155</v>
      </c>
      <c r="B16" s="41"/>
      <c r="C16" s="31"/>
      <c r="D16" s="31"/>
      <c r="E16" s="31">
        <v>0</v>
      </c>
      <c r="F16" s="40"/>
      <c r="G16" s="40"/>
    </row>
    <row r="17" spans="1:9" s="28" customFormat="1" ht="15" customHeight="1">
      <c r="A17" s="107" t="s">
        <v>137</v>
      </c>
      <c r="B17" s="107"/>
      <c r="C17" s="31"/>
      <c r="D17" s="31"/>
      <c r="E17" s="31">
        <v>0</v>
      </c>
      <c r="F17" s="40"/>
      <c r="G17" s="40"/>
      <c r="I17" s="33"/>
    </row>
    <row r="18" spans="1:7" s="28" customFormat="1" ht="15" customHeight="1">
      <c r="A18" s="108" t="s">
        <v>19</v>
      </c>
      <c r="B18" s="108"/>
      <c r="C18" s="42"/>
      <c r="D18" s="42"/>
      <c r="E18" s="37">
        <f>SUM($E13:$E17)</f>
        <v>24890.803800000012</v>
      </c>
      <c r="F18" s="38">
        <f>$E18/$E$20</f>
        <v>0.17870950713166409</v>
      </c>
      <c r="G18" s="52">
        <v>37830</v>
      </c>
    </row>
    <row r="19" spans="1:5" s="28" customFormat="1" ht="15" customHeight="1">
      <c r="A19" s="43"/>
      <c r="B19" s="43"/>
      <c r="E19" s="40"/>
    </row>
    <row r="20" spans="1:6" s="28" customFormat="1" ht="15" customHeight="1">
      <c r="A20" s="108" t="s">
        <v>20</v>
      </c>
      <c r="B20" s="108"/>
      <c r="C20" s="42"/>
      <c r="D20" s="42"/>
      <c r="E20" s="37">
        <f>SUM($E11,$E18)</f>
        <v>139280.80380000002</v>
      </c>
      <c r="F20" s="38">
        <f>SUM($F11,$F18)</f>
        <v>0.9999999999999999</v>
      </c>
    </row>
    <row r="21" spans="1:7" s="28" customFormat="1" ht="15" customHeight="1">
      <c r="A21" s="109" t="s">
        <v>33</v>
      </c>
      <c r="B21" s="109"/>
      <c r="C21" s="29"/>
      <c r="D21" s="29"/>
      <c r="E21" s="30">
        <f>13963-261-3868+3114+1772+191-195-472-486-535+557-437+1068.68-423.868-501.3919</f>
        <v>13486.4201</v>
      </c>
      <c r="G21" s="33"/>
    </row>
    <row r="22" spans="1:8" s="28" customFormat="1" ht="15" customHeight="1">
      <c r="A22" s="111" t="s">
        <v>34</v>
      </c>
      <c r="B22" s="111"/>
      <c r="C22" s="42"/>
      <c r="D22" s="42"/>
      <c r="E22" s="44">
        <f>E$20/E$21</f>
        <v>10.327485186376482</v>
      </c>
      <c r="F22" s="45"/>
      <c r="G22" s="53"/>
      <c r="H22" s="46"/>
    </row>
    <row r="23" ht="15" customHeight="1">
      <c r="G23" s="51"/>
    </row>
    <row r="24" spans="1:7" ht="15" customHeight="1">
      <c r="A24" s="112" t="s">
        <v>327</v>
      </c>
      <c r="B24" s="112"/>
      <c r="C24" s="29"/>
      <c r="D24" s="29"/>
      <c r="E24" s="54">
        <f>11376.48-1400-500-1021.85-400-400+234-500-360-500-500-500-2500-600-1000+311.615-500+4000-4000+5000-2500-1000</f>
        <v>2740.244999999999</v>
      </c>
      <c r="G24" s="51"/>
    </row>
    <row r="25" spans="1:5" ht="15" customHeight="1">
      <c r="A25" s="113" t="s">
        <v>329</v>
      </c>
      <c r="B25" s="113"/>
      <c r="C25" s="113"/>
      <c r="D25" s="42"/>
      <c r="E25" s="37">
        <v>53530.48940000001</v>
      </c>
    </row>
    <row r="26" spans="1:5" ht="15" customHeight="1">
      <c r="A26" s="114" t="s">
        <v>185</v>
      </c>
      <c r="B26" s="114"/>
      <c r="C26" s="47"/>
      <c r="D26" s="47"/>
      <c r="E26" s="48">
        <f>SUM(E24:E25)</f>
        <v>56270.734400000016</v>
      </c>
    </row>
    <row r="27" spans="1:5" ht="15" customHeight="1">
      <c r="A27" s="110" t="s">
        <v>184</v>
      </c>
      <c r="B27" s="110"/>
      <c r="C27" s="49"/>
      <c r="D27" s="49"/>
      <c r="E27" s="50">
        <f>$E$20+$E$24</f>
        <v>142021.04880000002</v>
      </c>
    </row>
  </sheetData>
  <mergeCells count="13">
    <mergeCell ref="A27:B27"/>
    <mergeCell ref="A22:B22"/>
    <mergeCell ref="A24:B24"/>
    <mergeCell ref="A25:C25"/>
    <mergeCell ref="A26:B26"/>
    <mergeCell ref="A17:B17"/>
    <mergeCell ref="A18:B18"/>
    <mergeCell ref="A20:B20"/>
    <mergeCell ref="A21:B21"/>
    <mergeCell ref="A1:G1"/>
    <mergeCell ref="A11:B11"/>
    <mergeCell ref="A13:B13"/>
    <mergeCell ref="A15:B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1" sqref="E21"/>
    </sheetView>
  </sheetViews>
  <sheetFormatPr defaultColWidth="9.140625" defaultRowHeight="15" customHeight="1"/>
  <cols>
    <col min="1" max="1" width="10.7109375" style="43" customWidth="1"/>
    <col min="2" max="2" width="10.28125" style="43" customWidth="1"/>
    <col min="3" max="3" width="10.00390625" style="43" customWidth="1"/>
    <col min="4" max="4" width="11.140625" style="43" customWidth="1"/>
    <col min="5" max="5" width="12.57421875" style="43" customWidth="1"/>
    <col min="6" max="6" width="10.57421875" style="43" customWidth="1"/>
    <col min="7" max="7" width="13.00390625" style="43" customWidth="1"/>
    <col min="8" max="8" width="12.00390625" style="43" customWidth="1"/>
    <col min="9" max="9" width="9.8515625" style="43" customWidth="1"/>
    <col min="10" max="16384" width="9.140625" style="43" customWidth="1"/>
  </cols>
  <sheetData>
    <row r="1" spans="1:7" s="26" customFormat="1" ht="15" customHeight="1">
      <c r="A1" s="105" t="s">
        <v>364</v>
      </c>
      <c r="B1" s="105"/>
      <c r="C1" s="105"/>
      <c r="D1" s="105"/>
      <c r="E1" s="105"/>
      <c r="F1" s="105"/>
      <c r="G1" s="105"/>
    </row>
    <row r="2" spans="1:7" s="28" customFormat="1" ht="15" customHeight="1">
      <c r="A2" s="27" t="s">
        <v>2</v>
      </c>
      <c r="B2" s="27" t="s">
        <v>4</v>
      </c>
      <c r="C2" s="27" t="s">
        <v>9</v>
      </c>
      <c r="D2" s="27" t="s">
        <v>10</v>
      </c>
      <c r="E2" s="27" t="s">
        <v>11</v>
      </c>
      <c r="F2" s="27" t="s">
        <v>12</v>
      </c>
      <c r="G2" s="27" t="s">
        <v>27</v>
      </c>
    </row>
    <row r="3" spans="1:9" s="28" customFormat="1" ht="15" customHeight="1">
      <c r="A3" s="29" t="s">
        <v>304</v>
      </c>
      <c r="B3" s="30">
        <v>7000</v>
      </c>
      <c r="C3" s="34">
        <v>9</v>
      </c>
      <c r="D3" s="31">
        <v>8.5</v>
      </c>
      <c r="E3" s="31">
        <f>$B3*$D3</f>
        <v>59500</v>
      </c>
      <c r="F3" s="32">
        <f>$E3/$E$19</f>
        <v>0.43574677030645564</v>
      </c>
      <c r="G3" s="31">
        <f>$E3-($B3*$C3)</f>
        <v>-3500</v>
      </c>
      <c r="I3" s="33"/>
    </row>
    <row r="4" spans="1:9" s="28" customFormat="1" ht="15" customHeight="1">
      <c r="A4" s="29" t="s">
        <v>283</v>
      </c>
      <c r="B4" s="30">
        <v>1000</v>
      </c>
      <c r="C4" s="34">
        <v>8.6</v>
      </c>
      <c r="D4" s="31">
        <v>8.95</v>
      </c>
      <c r="E4" s="31">
        <f>$B4*$D4</f>
        <v>8950</v>
      </c>
      <c r="F4" s="32">
        <f>$E4/$E$19</f>
        <v>0.06554510242424837</v>
      </c>
      <c r="G4" s="31">
        <f>$E4-($B4*$C4)</f>
        <v>350</v>
      </c>
      <c r="I4" s="33"/>
    </row>
    <row r="5" spans="1:9" s="28" customFormat="1" ht="15" customHeight="1">
      <c r="A5" s="29" t="s">
        <v>324</v>
      </c>
      <c r="B5" s="30">
        <v>800</v>
      </c>
      <c r="C5" s="34">
        <v>25.4</v>
      </c>
      <c r="D5" s="31">
        <v>23.2</v>
      </c>
      <c r="E5" s="31">
        <f>$B5*$D5</f>
        <v>18560</v>
      </c>
      <c r="F5" s="32">
        <f>$E5/$E$19</f>
        <v>0.13592369843508936</v>
      </c>
      <c r="G5" s="31">
        <f>$E5-($B5*$C5)</f>
        <v>-1760</v>
      </c>
      <c r="I5" s="33"/>
    </row>
    <row r="6" spans="1:9" s="28" customFormat="1" ht="15" customHeight="1">
      <c r="A6" s="29" t="s">
        <v>303</v>
      </c>
      <c r="B6" s="30">
        <v>9500</v>
      </c>
      <c r="C6" s="34">
        <v>2.95</v>
      </c>
      <c r="D6" s="31">
        <v>2.86</v>
      </c>
      <c r="E6" s="31">
        <f>$B6*$D6</f>
        <v>27170</v>
      </c>
      <c r="F6" s="32">
        <f>$E6/$E$19</f>
        <v>0.1989788193147294</v>
      </c>
      <c r="G6" s="31">
        <f>$E6-($B6*$C6)</f>
        <v>-855</v>
      </c>
      <c r="I6" s="33"/>
    </row>
    <row r="7" spans="1:7" s="28" customFormat="1" ht="15" customHeight="1">
      <c r="A7" s="29" t="s">
        <v>341</v>
      </c>
      <c r="B7" s="30">
        <v>400</v>
      </c>
      <c r="C7" s="31">
        <v>17.6</v>
      </c>
      <c r="D7" s="31">
        <v>16.7</v>
      </c>
      <c r="E7" s="35">
        <f>$B7*$D7</f>
        <v>6680</v>
      </c>
      <c r="F7" s="32">
        <f>$E7/$E$19</f>
        <v>0.04892081387642225</v>
      </c>
      <c r="G7" s="35">
        <f>$E7-($B7*$C7)</f>
        <v>-360.0000000000009</v>
      </c>
    </row>
    <row r="8" spans="1:7" s="28" customFormat="1" ht="15" customHeight="1">
      <c r="A8" s="29"/>
      <c r="B8" s="30"/>
      <c r="C8" s="31"/>
      <c r="D8" s="31"/>
      <c r="E8" s="35"/>
      <c r="F8" s="32"/>
      <c r="G8" s="35"/>
    </row>
    <row r="9" spans="1:7" s="28" customFormat="1" ht="15" customHeight="1">
      <c r="A9" s="29"/>
      <c r="B9" s="30"/>
      <c r="C9" s="31"/>
      <c r="D9" s="31"/>
      <c r="E9" s="35"/>
      <c r="F9" s="32"/>
      <c r="G9" s="35"/>
    </row>
    <row r="10" spans="1:7" s="28" customFormat="1" ht="15" customHeight="1">
      <c r="A10" s="106" t="s">
        <v>35</v>
      </c>
      <c r="B10" s="106"/>
      <c r="C10" s="36"/>
      <c r="D10" s="36"/>
      <c r="E10" s="37">
        <f>SUM($E3:$E7)</f>
        <v>120860</v>
      </c>
      <c r="F10" s="38">
        <f>SUM($F3:$F7)</f>
        <v>0.8851152043569449</v>
      </c>
      <c r="G10" s="35"/>
    </row>
    <row r="11" spans="2:7" s="28" customFormat="1" ht="15" customHeight="1">
      <c r="B11" s="39"/>
      <c r="C11" s="40"/>
      <c r="D11" s="40"/>
      <c r="E11" s="40"/>
      <c r="F11" s="40"/>
      <c r="G11" s="40"/>
    </row>
    <row r="12" spans="1:8" s="28" customFormat="1" ht="15" customHeight="1">
      <c r="A12" s="107" t="s">
        <v>17</v>
      </c>
      <c r="B12" s="107"/>
      <c r="C12" s="31"/>
      <c r="D12" s="31"/>
      <c r="E12" s="31">
        <v>24890.803800000012</v>
      </c>
      <c r="F12" s="40"/>
      <c r="G12" s="40"/>
      <c r="H12" s="33"/>
    </row>
    <row r="13" spans="1:7" s="28" customFormat="1" ht="15" customHeight="1">
      <c r="A13" s="41" t="s">
        <v>14</v>
      </c>
      <c r="B13" s="41"/>
      <c r="C13" s="31"/>
      <c r="D13" s="31"/>
      <c r="E13" s="31">
        <v>-9203.607</v>
      </c>
      <c r="F13" s="40"/>
      <c r="G13" s="40"/>
    </row>
    <row r="14" spans="1:7" s="28" customFormat="1" ht="15" customHeight="1">
      <c r="A14" s="107" t="s">
        <v>38</v>
      </c>
      <c r="B14" s="107"/>
      <c r="C14" s="31"/>
      <c r="D14" s="31"/>
      <c r="E14" s="31">
        <v>0</v>
      </c>
      <c r="F14" s="40"/>
      <c r="G14" s="40"/>
    </row>
    <row r="15" spans="1:7" s="28" customFormat="1" ht="15" customHeight="1">
      <c r="A15" s="41" t="s">
        <v>155</v>
      </c>
      <c r="B15" s="41"/>
      <c r="C15" s="31"/>
      <c r="D15" s="31"/>
      <c r="E15" s="31">
        <v>0</v>
      </c>
      <c r="F15" s="40"/>
      <c r="G15" s="40"/>
    </row>
    <row r="16" spans="1:9" s="28" customFormat="1" ht="15" customHeight="1">
      <c r="A16" s="107" t="s">
        <v>137</v>
      </c>
      <c r="B16" s="107"/>
      <c r="C16" s="31"/>
      <c r="D16" s="31"/>
      <c r="E16" s="31">
        <v>0</v>
      </c>
      <c r="F16" s="40"/>
      <c r="G16" s="40"/>
      <c r="I16" s="33"/>
    </row>
    <row r="17" spans="1:7" s="28" customFormat="1" ht="15" customHeight="1">
      <c r="A17" s="108" t="s">
        <v>19</v>
      </c>
      <c r="B17" s="108"/>
      <c r="C17" s="42"/>
      <c r="D17" s="42"/>
      <c r="E17" s="37">
        <f>SUM($E12:$E16)</f>
        <v>15687.196800000012</v>
      </c>
      <c r="F17" s="38">
        <f>$E17/$E$19</f>
        <v>0.11488479564305498</v>
      </c>
      <c r="G17" s="52">
        <v>37831</v>
      </c>
    </row>
    <row r="18" spans="1:5" s="28" customFormat="1" ht="15" customHeight="1">
      <c r="A18" s="43"/>
      <c r="B18" s="43"/>
      <c r="E18" s="40"/>
    </row>
    <row r="19" spans="1:6" s="28" customFormat="1" ht="15" customHeight="1">
      <c r="A19" s="108" t="s">
        <v>20</v>
      </c>
      <c r="B19" s="108"/>
      <c r="C19" s="42"/>
      <c r="D19" s="42"/>
      <c r="E19" s="37">
        <f>SUM($E10,$E17)</f>
        <v>136547.1968</v>
      </c>
      <c r="F19" s="38">
        <f>SUM($F10,$F17)</f>
        <v>0.9999999999999999</v>
      </c>
    </row>
    <row r="20" spans="1:7" s="28" customFormat="1" ht="15" customHeight="1">
      <c r="A20" s="109" t="s">
        <v>33</v>
      </c>
      <c r="B20" s="109"/>
      <c r="C20" s="29"/>
      <c r="D20" s="29"/>
      <c r="E20" s="30">
        <f>13963-261-3868+3114+1772+191-195-472-486-535+557-437+1068.68-423.868-501.3919</f>
        <v>13486.4201</v>
      </c>
      <c r="G20" s="33"/>
    </row>
    <row r="21" spans="1:8" s="28" customFormat="1" ht="15" customHeight="1">
      <c r="A21" s="111" t="s">
        <v>34</v>
      </c>
      <c r="B21" s="111"/>
      <c r="C21" s="42"/>
      <c r="D21" s="42"/>
      <c r="E21" s="44">
        <f>E$19/E$20</f>
        <v>10.124791886024669</v>
      </c>
      <c r="F21" s="45"/>
      <c r="G21" s="53"/>
      <c r="H21" s="46"/>
    </row>
    <row r="22" ht="15" customHeight="1">
      <c r="G22" s="51"/>
    </row>
    <row r="23" spans="1:7" ht="15" customHeight="1">
      <c r="A23" s="112" t="s">
        <v>327</v>
      </c>
      <c r="B23" s="112"/>
      <c r="C23" s="29"/>
      <c r="D23" s="29"/>
      <c r="E23" s="54">
        <f>11376.48-1400-500-1021.85-400-400+234-500-360-500-500-500-2500-600-1000+311.615-500+4000-4000+5000-2500-1000</f>
        <v>2740.244999999999</v>
      </c>
      <c r="G23" s="51"/>
    </row>
    <row r="24" spans="1:5" ht="15" customHeight="1">
      <c r="A24" s="113" t="s">
        <v>329</v>
      </c>
      <c r="B24" s="113"/>
      <c r="C24" s="113"/>
      <c r="D24" s="42"/>
      <c r="E24" s="37">
        <v>35455.95660000001</v>
      </c>
    </row>
    <row r="25" spans="1:5" ht="15" customHeight="1">
      <c r="A25" s="114" t="s">
        <v>185</v>
      </c>
      <c r="B25" s="114"/>
      <c r="C25" s="47"/>
      <c r="D25" s="47"/>
      <c r="E25" s="48">
        <f>SUM(E23:E24)</f>
        <v>38196.201600000015</v>
      </c>
    </row>
    <row r="26" spans="1:5" ht="15" customHeight="1">
      <c r="A26" s="110" t="s">
        <v>184</v>
      </c>
      <c r="B26" s="110"/>
      <c r="C26" s="49"/>
      <c r="D26" s="49"/>
      <c r="E26" s="50">
        <f>$E$19+$E$23</f>
        <v>139287.4418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C24"/>
    <mergeCell ref="A25:B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dcterms:created xsi:type="dcterms:W3CDTF">2002-10-20T17:23:22Z</dcterms:created>
  <dcterms:modified xsi:type="dcterms:W3CDTF">2003-08-11T16:00:48Z</dcterms:modified>
  <cp:category/>
  <cp:version/>
  <cp:contentType/>
  <cp:contentStatus/>
</cp:coreProperties>
</file>