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10" windowWidth="15360" windowHeight="9300" tabRatio="989" firstSheet="2" activeTab="26"/>
  </bookViews>
  <sheets>
    <sheet name="Tran." sheetId="1" r:id="rId1"/>
    <sheet name="27F" sheetId="2" r:id="rId2"/>
    <sheet name="28F" sheetId="3" r:id="rId3"/>
    <sheet name="3M" sheetId="4" r:id="rId4"/>
    <sheet name="4M" sheetId="5" r:id="rId5"/>
    <sheet name="5M" sheetId="6" r:id="rId6"/>
    <sheet name="6M" sheetId="7" r:id="rId7"/>
    <sheet name="7M" sheetId="8" r:id="rId8"/>
    <sheet name="10M" sheetId="9" r:id="rId9"/>
    <sheet name="11M" sheetId="10" r:id="rId10"/>
    <sheet name="12M" sheetId="11" r:id="rId11"/>
    <sheet name="13M" sheetId="12" r:id="rId12"/>
    <sheet name="14M" sheetId="13" r:id="rId13"/>
    <sheet name="17M" sheetId="14" r:id="rId14"/>
    <sheet name="18M" sheetId="15" r:id="rId15"/>
    <sheet name="19M" sheetId="16" r:id="rId16"/>
    <sheet name="20M" sheetId="17" r:id="rId17"/>
    <sheet name="21M" sheetId="18" r:id="rId18"/>
    <sheet name="24M" sheetId="19" r:id="rId19"/>
    <sheet name="25M" sheetId="20" r:id="rId20"/>
    <sheet name="26M" sheetId="21" r:id="rId21"/>
    <sheet name="27M" sheetId="22" r:id="rId22"/>
    <sheet name="28M" sheetId="23" r:id="rId23"/>
    <sheet name="31M" sheetId="24" r:id="rId24"/>
    <sheet name="1A" sheetId="25" r:id="rId25"/>
    <sheet name="2A" sheetId="26" r:id="rId26"/>
    <sheet name="Perf." sheetId="27" r:id="rId27"/>
    <sheet name="%CHG" sheetId="28" r:id="rId28"/>
    <sheet name="Return" sheetId="29" r:id="rId29"/>
  </sheets>
  <definedNames/>
  <calcPr fullCalcOnLoad="1"/>
</workbook>
</file>

<file path=xl/comments3.xml><?xml version="1.0" encoding="utf-8"?>
<comments xmlns="http://schemas.openxmlformats.org/spreadsheetml/2006/main">
  <authors>
    <author>ray</author>
  </authors>
  <commentList>
    <comment ref="E15" authorId="0">
      <text>
        <r>
          <rPr>
            <b/>
            <sz val="8"/>
            <rFont val="Tahoma"/>
            <family val="0"/>
          </rPr>
          <t xml:space="preserve">PAY LOANS TO MIC 2,000 THB
</t>
        </r>
      </text>
    </comment>
  </commentList>
</comments>
</file>

<file path=xl/sharedStrings.xml><?xml version="1.0" encoding="utf-8"?>
<sst xmlns="http://schemas.openxmlformats.org/spreadsheetml/2006/main" count="1072" uniqueCount="249">
  <si>
    <t>DATE</t>
  </si>
  <si>
    <t>TRANSACTION</t>
  </si>
  <si>
    <t>NAME</t>
  </si>
  <si>
    <t>B/S</t>
  </si>
  <si>
    <t>QUANTITY</t>
  </si>
  <si>
    <t>PRICE</t>
  </si>
  <si>
    <t>COM</t>
  </si>
  <si>
    <t>VAT</t>
  </si>
  <si>
    <t>AMOUNT</t>
  </si>
  <si>
    <t>COST PRICE</t>
  </si>
  <si>
    <t>MK PRICE</t>
  </si>
  <si>
    <t>MK VALUE</t>
  </si>
  <si>
    <t>% OF NAV</t>
  </si>
  <si>
    <t>RAM</t>
  </si>
  <si>
    <t>NET BUY</t>
  </si>
  <si>
    <t>NAV</t>
  </si>
  <si>
    <t>BUY</t>
  </si>
  <si>
    <t>BEG. CASH</t>
  </si>
  <si>
    <t>TUE 22/10/02</t>
  </si>
  <si>
    <t>ENDING CASH AVAILABLE</t>
  </si>
  <si>
    <t>TOTAL ASSET VALUE</t>
  </si>
  <si>
    <t>PERFORMANCE</t>
  </si>
  <si>
    <t>CHANGE</t>
  </si>
  <si>
    <t>PERCENT</t>
  </si>
  <si>
    <t>SET</t>
  </si>
  <si>
    <t>22/10</t>
  </si>
  <si>
    <t>RETURN SINCE INCEPTION</t>
  </si>
  <si>
    <t>UNREALIZED P/L</t>
  </si>
  <si>
    <t>21/10</t>
  </si>
  <si>
    <t>MON 21/10/02</t>
  </si>
  <si>
    <t>VARO</t>
  </si>
  <si>
    <t>ROJANA</t>
  </si>
  <si>
    <t>PATKOL</t>
  </si>
  <si>
    <t>ISSUED UNIT</t>
  </si>
  <si>
    <t>NAV / UNIT</t>
  </si>
  <si>
    <t>TOTAL MARKET VALUE</t>
  </si>
  <si>
    <t>THU 24/10/02</t>
  </si>
  <si>
    <t>SELL</t>
  </si>
  <si>
    <t>NET SELL</t>
  </si>
  <si>
    <t>24/10</t>
  </si>
  <si>
    <t>FRI 25/10/02</t>
  </si>
  <si>
    <t>25/10</t>
  </si>
  <si>
    <t>MON 28/10/02</t>
  </si>
  <si>
    <t>28/10</t>
  </si>
  <si>
    <t>TUE 29/10/02</t>
  </si>
  <si>
    <t>29/10</t>
  </si>
  <si>
    <t>30/10</t>
  </si>
  <si>
    <t>31/10</t>
  </si>
  <si>
    <t>1/11</t>
  </si>
  <si>
    <t>MON 04/11/02</t>
  </si>
  <si>
    <t>4/11</t>
  </si>
  <si>
    <t>5/11</t>
  </si>
  <si>
    <t>6/11</t>
  </si>
  <si>
    <t>7/11</t>
  </si>
  <si>
    <t>FRI 08/11/02</t>
  </si>
  <si>
    <t>8/11</t>
  </si>
  <si>
    <t>MON 11/11/02</t>
  </si>
  <si>
    <t>11/11</t>
  </si>
  <si>
    <t>TUE 12/11/02</t>
  </si>
  <si>
    <t>12/11</t>
  </si>
  <si>
    <t>13/11</t>
  </si>
  <si>
    <t>14/11</t>
  </si>
  <si>
    <t>FRI 15/11/02</t>
  </si>
  <si>
    <t>15/11</t>
  </si>
  <si>
    <t>MON 18/11/02</t>
  </si>
  <si>
    <t>18/11</t>
  </si>
  <si>
    <t>19/11</t>
  </si>
  <si>
    <t>TUE 19/11/02</t>
  </si>
  <si>
    <t>THU 21/11/02</t>
  </si>
  <si>
    <t>FRI 22/11/02</t>
  </si>
  <si>
    <t>20/11</t>
  </si>
  <si>
    <t>21/11</t>
  </si>
  <si>
    <t>22/11</t>
  </si>
  <si>
    <t>25/11</t>
  </si>
  <si>
    <t>TUE 26/11/02</t>
  </si>
  <si>
    <t>26/11</t>
  </si>
  <si>
    <t>27/11</t>
  </si>
  <si>
    <t>FRI 29/11/02</t>
  </si>
  <si>
    <t>28/11</t>
  </si>
  <si>
    <t>29/11</t>
  </si>
  <si>
    <t>2/12</t>
  </si>
  <si>
    <t>3/12</t>
  </si>
  <si>
    <t>4/12</t>
  </si>
  <si>
    <t>6/12</t>
  </si>
  <si>
    <t>9/12</t>
  </si>
  <si>
    <t>WED 11/12/02</t>
  </si>
  <si>
    <t>11/12</t>
  </si>
  <si>
    <t>12/12</t>
  </si>
  <si>
    <t>13/12</t>
  </si>
  <si>
    <t>16/12</t>
  </si>
  <si>
    <t>17/12</t>
  </si>
  <si>
    <t>TUE 17/12/02</t>
  </si>
  <si>
    <t>CEI</t>
  </si>
  <si>
    <t>WED 18/12/02</t>
  </si>
  <si>
    <t>SITHAI</t>
  </si>
  <si>
    <t>18/12</t>
  </si>
  <si>
    <t>THU 19/12/02</t>
  </si>
  <si>
    <t>19/12</t>
  </si>
  <si>
    <t>FRI 20/12/02</t>
  </si>
  <si>
    <t>20/12</t>
  </si>
  <si>
    <t>MON 23/12/02</t>
  </si>
  <si>
    <t>23/12</t>
  </si>
  <si>
    <t>TUE 24/12/02</t>
  </si>
  <si>
    <t>TRAF-W1</t>
  </si>
  <si>
    <t>AEONTS</t>
  </si>
  <si>
    <t>24/12</t>
  </si>
  <si>
    <t>WED 25/12/02</t>
  </si>
  <si>
    <t>25/12</t>
  </si>
  <si>
    <t>THU 26/12/02</t>
  </si>
  <si>
    <t>26/12</t>
  </si>
  <si>
    <t>FRI 27/12/02</t>
  </si>
  <si>
    <t>27/12</t>
  </si>
  <si>
    <t>2/1</t>
  </si>
  <si>
    <t>FRI  03/01/03</t>
  </si>
  <si>
    <t>3/1</t>
  </si>
  <si>
    <t>6/1</t>
  </si>
  <si>
    <t>TUE 07/01/03</t>
  </si>
  <si>
    <t>7/1</t>
  </si>
  <si>
    <t>WED 08/01/03</t>
  </si>
  <si>
    <t>8/1</t>
  </si>
  <si>
    <t>9/1</t>
  </si>
  <si>
    <t>FRI 10/01/03</t>
  </si>
  <si>
    <t>10/1</t>
  </si>
  <si>
    <t>MON 13/01/03</t>
  </si>
  <si>
    <t>TUE 14/01/03</t>
  </si>
  <si>
    <t>13/1</t>
  </si>
  <si>
    <t>14/1</t>
  </si>
  <si>
    <t>15/1</t>
  </si>
  <si>
    <t>16/1</t>
  </si>
  <si>
    <t>17/1</t>
  </si>
  <si>
    <t>20/1</t>
  </si>
  <si>
    <t>21/1</t>
  </si>
  <si>
    <t>22/1</t>
  </si>
  <si>
    <t>23/1</t>
  </si>
  <si>
    <t>BAT-3K</t>
  </si>
  <si>
    <t>FRI 24/01/03</t>
  </si>
  <si>
    <t>24/1</t>
  </si>
  <si>
    <t>SUBSCRIPTION</t>
  </si>
  <si>
    <t>27/1</t>
  </si>
  <si>
    <t>TUE 28/01/03</t>
  </si>
  <si>
    <t>28/1</t>
  </si>
  <si>
    <t>WED 29/01/03</t>
  </si>
  <si>
    <t>SPL</t>
  </si>
  <si>
    <t>29/1</t>
  </si>
  <si>
    <t>30/1</t>
  </si>
  <si>
    <t>31/1</t>
  </si>
  <si>
    <t>3/2</t>
  </si>
  <si>
    <t>4/2</t>
  </si>
  <si>
    <t>5/2</t>
  </si>
  <si>
    <t>6/2</t>
  </si>
  <si>
    <t>7/2</t>
  </si>
  <si>
    <t>MON 10/02/03</t>
  </si>
  <si>
    <t>TIPCO</t>
  </si>
  <si>
    <t>10/2</t>
  </si>
  <si>
    <t>11/2</t>
  </si>
  <si>
    <t>SPENDING CASH</t>
  </si>
  <si>
    <t>REDEMPTION</t>
  </si>
  <si>
    <t>WED 12/02/03</t>
  </si>
  <si>
    <t>VNT</t>
  </si>
  <si>
    <t>SIKRIN</t>
  </si>
  <si>
    <t>12/2</t>
  </si>
  <si>
    <t>13/2</t>
  </si>
  <si>
    <t>THU 13/02/03</t>
  </si>
  <si>
    <t>FRI 14/02/03</t>
  </si>
  <si>
    <t>14/2</t>
  </si>
  <si>
    <t>SPL-W2</t>
  </si>
  <si>
    <t>TUE 18/02/03</t>
  </si>
  <si>
    <t>18/2</t>
  </si>
  <si>
    <t>WED 19/02/03</t>
  </si>
  <si>
    <t>TRAF</t>
  </si>
  <si>
    <t>19/2</t>
  </si>
  <si>
    <t>20/2</t>
  </si>
  <si>
    <t>21/2</t>
  </si>
  <si>
    <t>MON 24/02/03</t>
  </si>
  <si>
    <t>24/2</t>
  </si>
  <si>
    <t>TUE 25/02/03</t>
  </si>
  <si>
    <t>25/2</t>
  </si>
  <si>
    <t>WED 26/02/03</t>
  </si>
  <si>
    <t>26/2</t>
  </si>
  <si>
    <t>27/2</t>
  </si>
  <si>
    <t>THU 27/02/03</t>
  </si>
  <si>
    <t>PORTFOLIO STATUS 27 FEB 2003</t>
  </si>
  <si>
    <t>PORTFOLIO STATUS 28 FEB 2003</t>
  </si>
  <si>
    <t>28/2</t>
  </si>
  <si>
    <t>PORTFOLIO STATUS 3 MARCH 2003</t>
  </si>
  <si>
    <t>MON 3/03/03</t>
  </si>
  <si>
    <t>3/03</t>
  </si>
  <si>
    <t>PORTFOLIO STATUS 4 MARCH 2003</t>
  </si>
  <si>
    <t>4/03</t>
  </si>
  <si>
    <t>WEALTH</t>
  </si>
  <si>
    <t>BALANCE IN ACCOUNT</t>
  </si>
  <si>
    <t>BALANCE AT T+3</t>
  </si>
  <si>
    <t>TUE 4/03/03</t>
  </si>
  <si>
    <t>WED 5/03/03</t>
  </si>
  <si>
    <t>PORTFOLIO STATUS 5 MARCH 2003</t>
  </si>
  <si>
    <t>SIRKIN</t>
  </si>
  <si>
    <t>THU 6/03/03</t>
  </si>
  <si>
    <t>PORTFOLIO STATUS 6 MARCH 2003</t>
  </si>
  <si>
    <t>5/03</t>
  </si>
  <si>
    <t>6/03</t>
  </si>
  <si>
    <t>FRI 7/03/03</t>
  </si>
  <si>
    <t>PORTFOLIO STATUS 7 MARCH 2003</t>
  </si>
  <si>
    <t>7/03</t>
  </si>
  <si>
    <t>PORTFOLIO STATUS 10 MARCH 2003</t>
  </si>
  <si>
    <t>10/3</t>
  </si>
  <si>
    <t>PORTFOLIO STATUS 11 MARCH 2003</t>
  </si>
  <si>
    <t>TUE 11/03/03</t>
  </si>
  <si>
    <t>11/3</t>
  </si>
  <si>
    <t>PORTFOLIO STATUS 12 MARCH 2003</t>
  </si>
  <si>
    <t>12/3</t>
  </si>
  <si>
    <t>PORTFOLIO STATUS 13 MARCH 2003</t>
  </si>
  <si>
    <t>13/3</t>
  </si>
  <si>
    <t>PORTFOLIO STATUS 14 MARCH 2003</t>
  </si>
  <si>
    <t>14/3</t>
  </si>
  <si>
    <t>PORTFOLIO STATUS 17 MARCH 2003</t>
  </si>
  <si>
    <t>17/3</t>
  </si>
  <si>
    <t>PORTFOLIO STATUS 18 MARCH 2003</t>
  </si>
  <si>
    <t>18/3</t>
  </si>
  <si>
    <t>PORTFOLIO STATUS 19 MARCH 2003</t>
  </si>
  <si>
    <t>19/3</t>
  </si>
  <si>
    <t>THU 20/03/03</t>
  </si>
  <si>
    <t>QH-W2</t>
  </si>
  <si>
    <t>PORTFOLIO STATUS 20 MARCH 2003</t>
  </si>
  <si>
    <t>20/3</t>
  </si>
  <si>
    <t>FRI 21/03/03</t>
  </si>
  <si>
    <t>MLINK</t>
  </si>
  <si>
    <t>PORTFOLIO STATUS 21 MARCH 2003</t>
  </si>
  <si>
    <t>21/3</t>
  </si>
  <si>
    <t>PORTFOLIO STATUS 24 MARCH 2003</t>
  </si>
  <si>
    <t>NLINK</t>
  </si>
  <si>
    <t>MON 24/03/03</t>
  </si>
  <si>
    <t>24/3</t>
  </si>
  <si>
    <t>WED 26/03/03</t>
  </si>
  <si>
    <t>PORTFOLIO STATUS 25 MARCH 2003</t>
  </si>
  <si>
    <t>PORTFOLIO STATUS 26 MARCH 2003</t>
  </si>
  <si>
    <t>PORTFOLIO STATUS 27 MARCH 2003</t>
  </si>
  <si>
    <t>25/3</t>
  </si>
  <si>
    <t>26/3</t>
  </si>
  <si>
    <t>27/3</t>
  </si>
  <si>
    <t>MON 31/03/03</t>
  </si>
  <si>
    <t>PORTFOLIO STATUS 31 MARCH 2003</t>
  </si>
  <si>
    <t>PORTFOLIO STATUS 28 MARCH 2003</t>
  </si>
  <si>
    <t>28/3</t>
  </si>
  <si>
    <t>31/3</t>
  </si>
  <si>
    <t>PORTFOLIO STATUS 1 APRIL 2003</t>
  </si>
  <si>
    <t>1/4</t>
  </si>
  <si>
    <t>WED 2/04/03</t>
  </si>
  <si>
    <t>PORTFOLIO STATUS 2 APRIL 2003</t>
  </si>
  <si>
    <t>2/4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</si>
</sst>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  <numFmt numFmtId="199" formatCode="0.0%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/d"/>
    <numFmt numFmtId="204" formatCode="00000"/>
    <numFmt numFmtId="205" formatCode="_-* #,##0.000_-;\-* #,##0.000_-;_-* &quot;-&quot;???_-;_-@_-"/>
    <numFmt numFmtId="206" formatCode="_-* #,##0.0000_-;\-* #,##0.0000_-;_-* &quot;-&quot;????_-;_-@_-"/>
    <numFmt numFmtId="207" formatCode="0.00000"/>
    <numFmt numFmtId="208" formatCode="0.0000"/>
    <numFmt numFmtId="209" formatCode="0.000"/>
  </numFmts>
  <fonts count="32">
    <font>
      <sz val="14"/>
      <name val="Cordia New"/>
      <family val="0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2"/>
      <color indexed="9"/>
      <name val="Cordia New"/>
      <family val="2"/>
    </font>
    <font>
      <b/>
      <sz val="10.5"/>
      <name val="Cordia New"/>
      <family val="2"/>
    </font>
    <font>
      <b/>
      <sz val="10"/>
      <name val="Cordia New"/>
      <family val="2"/>
    </font>
    <font>
      <sz val="29"/>
      <name val="Cordia New"/>
      <family val="0"/>
    </font>
    <font>
      <sz val="20.25"/>
      <name val="Cordia New"/>
      <family val="0"/>
    </font>
    <font>
      <sz val="15.25"/>
      <name val="Cordia New"/>
      <family val="2"/>
    </font>
    <font>
      <b/>
      <sz val="25"/>
      <name val="Cordia New"/>
      <family val="0"/>
    </font>
    <font>
      <b/>
      <sz val="11.75"/>
      <name val="Cordia New"/>
      <family val="2"/>
    </font>
    <font>
      <sz val="23.5"/>
      <name val="Cordia New"/>
      <family val="0"/>
    </font>
    <font>
      <sz val="24"/>
      <name val="Cordia New"/>
      <family val="0"/>
    </font>
    <font>
      <sz val="15"/>
      <name val="Cordia New"/>
      <family val="2"/>
    </font>
    <font>
      <b/>
      <sz val="24"/>
      <name val="Cordia New"/>
      <family val="0"/>
    </font>
    <font>
      <b/>
      <sz val="14"/>
      <color indexed="9"/>
      <name val="BrowalliaUPC"/>
      <family val="2"/>
    </font>
    <font>
      <u val="singleAccounting"/>
      <sz val="12"/>
      <color indexed="9"/>
      <name val="Cordia New"/>
      <family val="2"/>
    </font>
    <font>
      <b/>
      <sz val="12"/>
      <color indexed="9"/>
      <name val="Cordia New"/>
      <family val="2"/>
    </font>
    <font>
      <b/>
      <u val="singleAccounting"/>
      <sz val="12"/>
      <color indexed="9"/>
      <name val="Cordia New"/>
      <family val="2"/>
    </font>
    <font>
      <b/>
      <sz val="14"/>
      <color indexed="9"/>
      <name val="Cordia New"/>
      <family val="2"/>
    </font>
    <font>
      <sz val="11"/>
      <color indexed="9"/>
      <name val="Cordia New"/>
      <family val="2"/>
    </font>
    <font>
      <sz val="11"/>
      <name val="Cordia New"/>
      <family val="2"/>
    </font>
    <font>
      <sz val="12"/>
      <color indexed="12"/>
      <name val="Cordia New"/>
      <family val="2"/>
    </font>
    <font>
      <sz val="12"/>
      <color indexed="8"/>
      <name val="Cordia New"/>
      <family val="2"/>
    </font>
    <font>
      <sz val="12"/>
      <color indexed="10"/>
      <name val="Cordia New"/>
      <family val="2"/>
    </font>
    <font>
      <sz val="12"/>
      <name val="BrowalliaUPC"/>
      <family val="2"/>
    </font>
    <font>
      <b/>
      <sz val="8"/>
      <name val="Tahoma"/>
      <family val="0"/>
    </font>
    <font>
      <b/>
      <sz val="12"/>
      <color indexed="9"/>
      <name val="BrowalliaUPC"/>
      <family val="2"/>
    </font>
    <font>
      <sz val="12"/>
      <color indexed="48"/>
      <name val="Cordia New"/>
      <family val="2"/>
    </font>
    <font>
      <b/>
      <sz val="8"/>
      <name val="Cordia New"/>
      <family val="2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8" fontId="1" fillId="0" borderId="0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98" fontId="1" fillId="0" borderId="1" xfId="15" applyNumberFormat="1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201" fontId="1" fillId="0" borderId="0" xfId="15" applyNumberFormat="1" applyFont="1" applyBorder="1" applyAlignment="1">
      <alignment horizontal="center"/>
    </xf>
    <xf numFmtId="10" fontId="1" fillId="0" borderId="2" xfId="15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98" fontId="5" fillId="2" borderId="1" xfId="15" applyNumberFormat="1" applyFont="1" applyFill="1" applyBorder="1" applyAlignment="1">
      <alignment horizontal="center"/>
    </xf>
    <xf numFmtId="43" fontId="5" fillId="2" borderId="1" xfId="15" applyFont="1" applyFill="1" applyBorder="1" applyAlignment="1">
      <alignment horizontal="center"/>
    </xf>
    <xf numFmtId="43" fontId="5" fillId="2" borderId="4" xfId="15" applyFont="1" applyFill="1" applyBorder="1" applyAlignment="1">
      <alignment horizontal="center"/>
    </xf>
    <xf numFmtId="49" fontId="22" fillId="3" borderId="5" xfId="0" applyNumberFormat="1" applyFont="1" applyFill="1" applyBorder="1" applyAlignment="1">
      <alignment horizontal="center"/>
    </xf>
    <xf numFmtId="201" fontId="22" fillId="4" borderId="6" xfId="15" applyNumberFormat="1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10" fontId="22" fillId="4" borderId="6" xfId="0" applyNumberFormat="1" applyFont="1" applyFill="1" applyBorder="1" applyAlignment="1">
      <alignment horizontal="center"/>
    </xf>
    <xf numFmtId="43" fontId="22" fillId="5" borderId="6" xfId="15" applyFont="1" applyFill="1" applyBorder="1" applyAlignment="1">
      <alignment horizontal="center"/>
    </xf>
    <xf numFmtId="10" fontId="22" fillId="5" borderId="6" xfId="0" applyNumberFormat="1" applyFont="1" applyFill="1" applyBorder="1" applyAlignment="1">
      <alignment horizontal="center"/>
    </xf>
    <xf numFmtId="43" fontId="24" fillId="0" borderId="0" xfId="0" applyNumberFormat="1" applyFont="1" applyAlignment="1">
      <alignment horizontal="center"/>
    </xf>
    <xf numFmtId="43" fontId="25" fillId="6" borderId="1" xfId="15" applyFont="1" applyFill="1" applyBorder="1" applyAlignment="1">
      <alignment horizontal="center"/>
    </xf>
    <xf numFmtId="43" fontId="25" fillId="7" borderId="1" xfId="15" applyFont="1" applyFill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43" fontId="1" fillId="6" borderId="1" xfId="15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201" fontId="1" fillId="0" borderId="0" xfId="15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3" fontId="1" fillId="7" borderId="1" xfId="15" applyFont="1" applyFill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43" fontId="1" fillId="0" borderId="0" xfId="15" applyFont="1" applyFill="1" applyAlignment="1">
      <alignment horizontal="center"/>
    </xf>
    <xf numFmtId="43" fontId="1" fillId="8" borderId="1" xfId="15" applyFont="1" applyFill="1" applyBorder="1" applyAlignment="1">
      <alignment horizontal="center"/>
    </xf>
    <xf numFmtId="43" fontId="24" fillId="0" borderId="0" xfId="0" applyNumberFormat="1" applyFont="1" applyFill="1" applyAlignment="1">
      <alignment horizontal="center"/>
    </xf>
    <xf numFmtId="43" fontId="26" fillId="0" borderId="0" xfId="0" applyNumberFormat="1" applyFont="1" applyAlignment="1">
      <alignment horizontal="center"/>
    </xf>
    <xf numFmtId="0" fontId="27" fillId="0" borderId="0" xfId="0" applyFont="1" applyAlignment="1">
      <alignment vertical="center"/>
    </xf>
    <xf numFmtId="0" fontId="5" fillId="9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198" fontId="5" fillId="10" borderId="0" xfId="15" applyNumberFormat="1" applyFont="1" applyFill="1" applyAlignment="1">
      <alignment horizontal="center" vertical="center"/>
    </xf>
    <xf numFmtId="43" fontId="5" fillId="10" borderId="0" xfId="15" applyFont="1" applyFill="1" applyAlignment="1">
      <alignment horizontal="center" vertical="center"/>
    </xf>
    <xf numFmtId="10" fontId="5" fillId="10" borderId="0" xfId="0" applyNumberFormat="1" applyFont="1" applyFill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5" fillId="10" borderId="0" xfId="15" applyNumberFormat="1" applyFont="1" applyFill="1" applyAlignment="1">
      <alignment horizontal="center" vertical="center"/>
    </xf>
    <xf numFmtId="43" fontId="18" fillId="10" borderId="0" xfId="15" applyFont="1" applyFill="1" applyAlignment="1">
      <alignment horizontal="center" vertical="center"/>
    </xf>
    <xf numFmtId="43" fontId="5" fillId="9" borderId="0" xfId="15" applyFont="1" applyFill="1" applyAlignment="1">
      <alignment horizontal="center" vertical="center"/>
    </xf>
    <xf numFmtId="43" fontId="18" fillId="9" borderId="0" xfId="15" applyFont="1" applyFill="1" applyAlignment="1">
      <alignment horizontal="center" vertical="center"/>
    </xf>
    <xf numFmtId="10" fontId="5" fillId="9" borderId="0" xfId="0" applyNumberFormat="1" applyFont="1" applyFill="1" applyAlignment="1">
      <alignment horizontal="center" vertical="center"/>
    </xf>
    <xf numFmtId="198" fontId="1" fillId="0" borderId="0" xfId="15" applyNumberFormat="1" applyFont="1" applyAlignment="1">
      <alignment horizontal="center" vertical="center"/>
    </xf>
    <xf numFmtId="43" fontId="1" fillId="0" borderId="0" xfId="15" applyFont="1" applyAlignment="1">
      <alignment horizontal="center" vertical="center"/>
    </xf>
    <xf numFmtId="0" fontId="5" fillId="10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201" fontId="20" fillId="9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98" fontId="1" fillId="0" borderId="0" xfId="0" applyNumberFormat="1" applyFont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43" fontId="20" fillId="11" borderId="0" xfId="0" applyNumberFormat="1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43" fontId="20" fillId="12" borderId="0" xfId="0" applyNumberFormat="1" applyFont="1" applyFill="1" applyAlignment="1">
      <alignment horizontal="center" vertical="center"/>
    </xf>
    <xf numFmtId="43" fontId="24" fillId="0" borderId="0" xfId="0" applyNumberFormat="1" applyFont="1" applyFill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198" fontId="1" fillId="13" borderId="0" xfId="15" applyNumberFormat="1" applyFont="1" applyFill="1" applyBorder="1" applyAlignment="1">
      <alignment horizontal="center"/>
    </xf>
    <xf numFmtId="43" fontId="1" fillId="13" borderId="0" xfId="15" applyFont="1" applyFill="1" applyBorder="1" applyAlignment="1">
      <alignment horizontal="center"/>
    </xf>
    <xf numFmtId="43" fontId="26" fillId="0" borderId="0" xfId="0" applyNumberFormat="1" applyFont="1" applyAlignment="1">
      <alignment horizontal="center"/>
    </xf>
    <xf numFmtId="43" fontId="25" fillId="0" borderId="0" xfId="19" applyNumberFormat="1" applyFont="1" applyAlignment="1">
      <alignment horizontal="center" vertical="center"/>
    </xf>
    <xf numFmtId="43" fontId="1" fillId="0" borderId="0" xfId="0" applyNumberFormat="1" applyFont="1" applyAlignment="1">
      <alignment vertical="center"/>
    </xf>
    <xf numFmtId="0" fontId="25" fillId="13" borderId="0" xfId="0" applyFont="1" applyFill="1" applyBorder="1" applyAlignment="1">
      <alignment horizontal="center"/>
    </xf>
    <xf numFmtId="198" fontId="25" fillId="13" borderId="0" xfId="15" applyNumberFormat="1" applyFont="1" applyFill="1" applyBorder="1" applyAlignment="1">
      <alignment horizontal="center"/>
    </xf>
    <xf numFmtId="43" fontId="25" fillId="13" borderId="0" xfId="15" applyFont="1" applyFill="1" applyBorder="1" applyAlignment="1">
      <alignment horizontal="center"/>
    </xf>
    <xf numFmtId="16" fontId="5" fillId="14" borderId="0" xfId="0" applyNumberFormat="1" applyFont="1" applyFill="1" applyAlignment="1">
      <alignment horizontal="center" vertical="center"/>
    </xf>
    <xf numFmtId="43" fontId="18" fillId="15" borderId="0" xfId="15" applyFont="1" applyFill="1" applyAlignment="1">
      <alignment horizontal="center" vertical="center"/>
    </xf>
    <xf numFmtId="43" fontId="5" fillId="15" borderId="0" xfId="15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43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198" fontId="23" fillId="0" borderId="0" xfId="0" applyNumberFormat="1" applyFont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43" fontId="20" fillId="15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43" fontId="30" fillId="0" borderId="0" xfId="0" applyNumberFormat="1" applyFont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19" fillId="9" borderId="0" xfId="0" applyFont="1" applyFill="1" applyBorder="1" applyAlignment="1">
      <alignment vertical="center"/>
    </xf>
    <xf numFmtId="0" fontId="19" fillId="11" borderId="0" xfId="0" applyFont="1" applyFill="1" applyBorder="1" applyAlignment="1">
      <alignment vertical="center"/>
    </xf>
    <xf numFmtId="0" fontId="19" fillId="12" borderId="0" xfId="0" applyFont="1" applyFill="1" applyBorder="1" applyAlignment="1">
      <alignment vertical="center"/>
    </xf>
    <xf numFmtId="0" fontId="5" fillId="10" borderId="0" xfId="0" applyFont="1" applyFill="1" applyAlignment="1">
      <alignment vertical="center"/>
    </xf>
    <xf numFmtId="0" fontId="5" fillId="9" borderId="0" xfId="0" applyFont="1" applyFill="1" applyBorder="1" applyAlignment="1">
      <alignment vertical="center"/>
    </xf>
    <xf numFmtId="0" fontId="5" fillId="10" borderId="0" xfId="0" applyFont="1" applyFill="1" applyBorder="1" applyAlignment="1">
      <alignment vertical="center"/>
    </xf>
    <xf numFmtId="0" fontId="29" fillId="9" borderId="10" xfId="0" applyFont="1" applyFill="1" applyBorder="1" applyAlignment="1">
      <alignment horizontal="center" vertical="center"/>
    </xf>
    <xf numFmtId="0" fontId="5" fillId="9" borderId="0" xfId="0" applyFont="1" applyFill="1" applyAlignment="1">
      <alignment vertical="center"/>
    </xf>
    <xf numFmtId="0" fontId="17" fillId="9" borderId="1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chartsheet" Target="chartsheets/sheet1.xml" /><Relationship Id="rId29" Type="http://schemas.openxmlformats.org/officeDocument/2006/relationships/chartsheet" Target="chartsheets/sheet2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Cordia New"/>
                <a:ea typeface="Cordia New"/>
                <a:cs typeface="Cordia New"/>
              </a:rPr>
              <a:t>PERCENTAGE CHANGE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8625"/>
          <c:w val="0.69675"/>
          <c:h val="0.731"/>
        </c:manualLayout>
      </c:layout>
      <c:lineChart>
        <c:grouping val="standard"/>
        <c:varyColors val="0"/>
        <c:ser>
          <c:idx val="0"/>
          <c:order val="0"/>
          <c:tx>
            <c:v>% CHANGE OF NAV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'Perf.'!$A$4:$A$200</c:f>
              <c:strCache>
                <c:ptCount val="1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</c:strCache>
            </c:strRef>
          </c:cat>
          <c:val>
            <c:numRef>
              <c:f>'Perf.'!$D$3:$D$200</c:f>
              <c:numCache>
                <c:ptCount val="198"/>
                <c:pt idx="0">
                  <c:v>0</c:v>
                </c:pt>
                <c:pt idx="1">
                  <c:v>0.0165297424820363</c:v>
                </c:pt>
                <c:pt idx="2">
                  <c:v>0.022780721533901635</c:v>
                </c:pt>
                <c:pt idx="3">
                  <c:v>0.010470877585958983</c:v>
                </c:pt>
                <c:pt idx="4">
                  <c:v>0.011242932569015656</c:v>
                </c:pt>
                <c:pt idx="5">
                  <c:v>-0.0036930207422962206</c:v>
                </c:pt>
                <c:pt idx="6">
                  <c:v>0.002665271512524949</c:v>
                </c:pt>
                <c:pt idx="7">
                  <c:v>0.0029904600635737395</c:v>
                </c:pt>
                <c:pt idx="8">
                  <c:v>0.01921439386553047</c:v>
                </c:pt>
                <c:pt idx="9">
                  <c:v>-0.008735360082142393</c:v>
                </c:pt>
                <c:pt idx="10">
                  <c:v>-0.030822750161719398</c:v>
                </c:pt>
                <c:pt idx="11">
                  <c:v>-0.003017759688705034</c:v>
                </c:pt>
                <c:pt idx="12">
                  <c:v>0.011653286333418337</c:v>
                </c:pt>
                <c:pt idx="13">
                  <c:v>-0.0028462837924150487</c:v>
                </c:pt>
                <c:pt idx="14">
                  <c:v>0.004054393282969924</c:v>
                </c:pt>
                <c:pt idx="15">
                  <c:v>-0.017984529958852576</c:v>
                </c:pt>
                <c:pt idx="16">
                  <c:v>-0.0012016401282240914</c:v>
                </c:pt>
                <c:pt idx="17">
                  <c:v>-0.0036092574132132516</c:v>
                </c:pt>
                <c:pt idx="18">
                  <c:v>-0.02906114931188196</c:v>
                </c:pt>
                <c:pt idx="19">
                  <c:v>0.004074633256114305</c:v>
                </c:pt>
                <c:pt idx="20">
                  <c:v>-0.01605497462726543</c:v>
                </c:pt>
                <c:pt idx="21">
                  <c:v>0.00896856744628476</c:v>
                </c:pt>
                <c:pt idx="22">
                  <c:v>0.004710498109871698</c:v>
                </c:pt>
                <c:pt idx="23">
                  <c:v>0.008820425466115226</c:v>
                </c:pt>
                <c:pt idx="24">
                  <c:v>0</c:v>
                </c:pt>
                <c:pt idx="25">
                  <c:v>-0.002622597910381108</c:v>
                </c:pt>
                <c:pt idx="26">
                  <c:v>-0.0029614642914121496</c:v>
                </c:pt>
                <c:pt idx="27">
                  <c:v>-0.0029702606121512235</c:v>
                </c:pt>
                <c:pt idx="28">
                  <c:v>0.013661058053092945</c:v>
                </c:pt>
                <c:pt idx="29">
                  <c:v>0</c:v>
                </c:pt>
                <c:pt idx="30">
                  <c:v>-0.012551462084081354</c:v>
                </c:pt>
                <c:pt idx="31">
                  <c:v>-0.003177750941474915</c:v>
                </c:pt>
                <c:pt idx="32">
                  <c:v>-0.0021252541560451894</c:v>
                </c:pt>
                <c:pt idx="33">
                  <c:v>-0.003194670721295413</c:v>
                </c:pt>
                <c:pt idx="34">
                  <c:v>0.008965235368987818</c:v>
                </c:pt>
                <c:pt idx="35">
                  <c:v>0.007411674414248743</c:v>
                </c:pt>
                <c:pt idx="36">
                  <c:v>-0.00560544430179166</c:v>
                </c:pt>
                <c:pt idx="37">
                  <c:v>-0.00581320000506637</c:v>
                </c:pt>
                <c:pt idx="38">
                  <c:v>0.0032575161164972266</c:v>
                </c:pt>
                <c:pt idx="39">
                  <c:v>0.00160600757003349</c:v>
                </c:pt>
                <c:pt idx="40">
                  <c:v>0.0004957316307553574</c:v>
                </c:pt>
                <c:pt idx="41">
                  <c:v>-0.0023562814474334163</c:v>
                </c:pt>
                <c:pt idx="42">
                  <c:v>-5.171506333303722E-06</c:v>
                </c:pt>
                <c:pt idx="43">
                  <c:v>0.001397190396525351</c:v>
                </c:pt>
                <c:pt idx="44">
                  <c:v>0.02708696849920195</c:v>
                </c:pt>
                <c:pt idx="45">
                  <c:v>0.026754228239548625</c:v>
                </c:pt>
                <c:pt idx="46">
                  <c:v>0.00035292109580283644</c:v>
                </c:pt>
                <c:pt idx="47">
                  <c:v>-0.0015336966727098422</c:v>
                </c:pt>
                <c:pt idx="48">
                  <c:v>0.0015303452228933602</c:v>
                </c:pt>
                <c:pt idx="49">
                  <c:v>0.0034082342501866743</c:v>
                </c:pt>
                <c:pt idx="50">
                  <c:v>-0.008078848309530798</c:v>
                </c:pt>
                <c:pt idx="51">
                  <c:v>-0.03883792302329507</c:v>
                </c:pt>
                <c:pt idx="52">
                  <c:v>-0.009619262171482058</c:v>
                </c:pt>
                <c:pt idx="53">
                  <c:v>0.019214333807906013</c:v>
                </c:pt>
                <c:pt idx="54">
                  <c:v>0.038867763438918984</c:v>
                </c:pt>
                <c:pt idx="55">
                  <c:v>0.023485603168873895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0.0016147645594413972</c:v>
                </c:pt>
                <c:pt idx="64">
                  <c:v>0.020778899759908643</c:v>
                </c:pt>
                <c:pt idx="65">
                  <c:v>-0.00912601533465642</c:v>
                </c:pt>
                <c:pt idx="66">
                  <c:v>0.001203138666906898</c:v>
                </c:pt>
                <c:pt idx="67">
                  <c:v>0</c:v>
                </c:pt>
                <c:pt idx="68">
                  <c:v>0.0017315958150911875</c:v>
                </c:pt>
                <c:pt idx="69">
                  <c:v>2.2264660928334562E-15</c:v>
                </c:pt>
                <c:pt idx="70">
                  <c:v>0</c:v>
                </c:pt>
                <c:pt idx="71">
                  <c:v>-0.001728602574110129</c:v>
                </c:pt>
                <c:pt idx="72">
                  <c:v>0.0069263832603645905</c:v>
                </c:pt>
                <c:pt idx="73">
                  <c:v>-0.0034393692406475816</c:v>
                </c:pt>
                <c:pt idx="74">
                  <c:v>-0.001977190161532875</c:v>
                </c:pt>
                <c:pt idx="75">
                  <c:v>0.01059912172714806</c:v>
                </c:pt>
                <c:pt idx="76">
                  <c:v>0.0022838488847602796</c:v>
                </c:pt>
                <c:pt idx="77">
                  <c:v>-0.033385223169574534</c:v>
                </c:pt>
                <c:pt idx="78">
                  <c:v>0.0007305095652438775</c:v>
                </c:pt>
                <c:pt idx="79">
                  <c:v>0.012119218230384414</c:v>
                </c:pt>
                <c:pt idx="80">
                  <c:v>-0.01062463520766391</c:v>
                </c:pt>
                <c:pt idx="81">
                  <c:v>-0.017261425222125204</c:v>
                </c:pt>
                <c:pt idx="82">
                  <c:v>-0.009218308854189955</c:v>
                </c:pt>
                <c:pt idx="83">
                  <c:v>-0.0033890514316329565</c:v>
                </c:pt>
                <c:pt idx="84">
                  <c:v>-0.04064509315139837</c:v>
                </c:pt>
                <c:pt idx="85">
                  <c:v>-0.00986751349610809</c:v>
                </c:pt>
                <c:pt idx="86">
                  <c:v>0.004775374345156938</c:v>
                </c:pt>
                <c:pt idx="87">
                  <c:v>0.010069947476305224</c:v>
                </c:pt>
                <c:pt idx="88">
                  <c:v>0.027727359981855937</c:v>
                </c:pt>
                <c:pt idx="89">
                  <c:v>0.004572170325626351</c:v>
                </c:pt>
                <c:pt idx="90">
                  <c:v>-0.0033449084459687742</c:v>
                </c:pt>
                <c:pt idx="91">
                  <c:v>-0.00444991937070694</c:v>
                </c:pt>
                <c:pt idx="92">
                  <c:v>-0.006550372732230861</c:v>
                </c:pt>
                <c:pt idx="93">
                  <c:v>-0.008749799733069361</c:v>
                </c:pt>
                <c:pt idx="94">
                  <c:v>-0.005175650208919592</c:v>
                </c:pt>
                <c:pt idx="95">
                  <c:v>0</c:v>
                </c:pt>
                <c:pt idx="96">
                  <c:v>-7.38354246706918E-06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-0.015297437914604204</c:v>
                </c:pt>
                <c:pt idx="102">
                  <c:v>-0.01945340996653143</c:v>
                </c:pt>
                <c:pt idx="103">
                  <c:v>-0.05966755007320447</c:v>
                </c:pt>
                <c:pt idx="104">
                  <c:v>0.007663075399842655</c:v>
                </c:pt>
                <c:pt idx="105">
                  <c:v>0.011085214331648236</c:v>
                </c:pt>
                <c:pt idx="106">
                  <c:v>0</c:v>
                </c:pt>
                <c:pt idx="107">
                  <c:v>0</c:v>
                </c:pt>
                <c:pt idx="108">
                  <c:v>-0.07694252443540091</c:v>
                </c:pt>
                <c:pt idx="109">
                  <c:v>0.016791066352928784</c:v>
                </c:pt>
                <c:pt idx="110">
                  <c:v>0.032697479572792176</c:v>
                </c:pt>
              </c:numCache>
            </c:numRef>
          </c:val>
          <c:smooth val="0"/>
        </c:ser>
        <c:ser>
          <c:idx val="1"/>
          <c:order val="1"/>
          <c:tx>
            <c:v>% CHANGE OF SET INDEX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'Perf.'!$A$4:$A$200</c:f>
              <c:strCache>
                <c:ptCount val="1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</c:strCache>
            </c:strRef>
          </c:cat>
          <c:val>
            <c:numRef>
              <c:f>'Perf.'!$H$3:$H$200</c:f>
              <c:numCache>
                <c:ptCount val="198"/>
                <c:pt idx="0">
                  <c:v>0</c:v>
                </c:pt>
                <c:pt idx="1">
                  <c:v>0.005605902172650189</c:v>
                </c:pt>
                <c:pt idx="2">
                  <c:v>0.0010975997227116359</c:v>
                </c:pt>
                <c:pt idx="3">
                  <c:v>0.005395423987997359</c:v>
                </c:pt>
                <c:pt idx="4">
                  <c:v>0.025713137806348037</c:v>
                </c:pt>
                <c:pt idx="5">
                  <c:v>-0.009708466230205437</c:v>
                </c:pt>
                <c:pt idx="6">
                  <c:v>0.002966520695013452</c:v>
                </c:pt>
                <c:pt idx="7">
                  <c:v>0.00625352112676064</c:v>
                </c:pt>
                <c:pt idx="8">
                  <c:v>0.0012877218520798933</c:v>
                </c:pt>
                <c:pt idx="9">
                  <c:v>0.0031312905390293126</c:v>
                </c:pt>
                <c:pt idx="10">
                  <c:v>-0.008444816053511788</c:v>
                </c:pt>
                <c:pt idx="11">
                  <c:v>-0.005537285324788404</c:v>
                </c:pt>
                <c:pt idx="12">
                  <c:v>0.010344827586206806</c:v>
                </c:pt>
                <c:pt idx="13">
                  <c:v>-0.00688188888267213</c:v>
                </c:pt>
                <c:pt idx="14">
                  <c:v>-0.01307042253521123</c:v>
                </c:pt>
                <c:pt idx="15">
                  <c:v>-0.015098755565703906</c:v>
                </c:pt>
                <c:pt idx="16">
                  <c:v>-0.004057147825078903</c:v>
                </c:pt>
                <c:pt idx="17">
                  <c:v>0.015363575523030734</c:v>
                </c:pt>
                <c:pt idx="18">
                  <c:v>0.02089124516406368</c:v>
                </c:pt>
                <c:pt idx="19">
                  <c:v>0.002414102852009919</c:v>
                </c:pt>
                <c:pt idx="20">
                  <c:v>-0.00974516942033049</c:v>
                </c:pt>
                <c:pt idx="21">
                  <c:v>-0.004072167863808602</c:v>
                </c:pt>
                <c:pt idx="22">
                  <c:v>0.01777500141972852</c:v>
                </c:pt>
                <c:pt idx="23">
                  <c:v>0.01157794888963279</c:v>
                </c:pt>
                <c:pt idx="24">
                  <c:v>0.005350395763810359</c:v>
                </c:pt>
                <c:pt idx="25">
                  <c:v>-0.009107618028694465</c:v>
                </c:pt>
                <c:pt idx="26">
                  <c:v>0.00038758616871084194</c:v>
                </c:pt>
                <c:pt idx="27">
                  <c:v>0.008136156081361553</c:v>
                </c:pt>
                <c:pt idx="28">
                  <c:v>0.001674490104037873</c:v>
                </c:pt>
                <c:pt idx="29">
                  <c:v>0.004850644012058205</c:v>
                </c:pt>
                <c:pt idx="30">
                  <c:v>-0.006763574876592081</c:v>
                </c:pt>
                <c:pt idx="31">
                  <c:v>0.002059364617370054</c:v>
                </c:pt>
                <c:pt idx="32">
                  <c:v>0.00041102647010461246</c:v>
                </c:pt>
                <c:pt idx="33">
                  <c:v>0.0007121531677122019</c:v>
                </c:pt>
                <c:pt idx="34">
                  <c:v>0.00030108115505667656</c:v>
                </c:pt>
                <c:pt idx="35">
                  <c:v>-0.01094511027198599</c:v>
                </c:pt>
                <c:pt idx="36">
                  <c:v>-0.01455209428429146</c:v>
                </c:pt>
                <c:pt idx="37">
                  <c:v>-0.006372824256035884</c:v>
                </c:pt>
                <c:pt idx="38">
                  <c:v>-0.0031079592009720077</c:v>
                </c:pt>
                <c:pt idx="39">
                  <c:v>-0.00626363971317626</c:v>
                </c:pt>
                <c:pt idx="40">
                  <c:v>-0.0010552735154868648</c:v>
                </c:pt>
                <c:pt idx="41">
                  <c:v>-0.0006852248394004542</c:v>
                </c:pt>
                <c:pt idx="42">
                  <c:v>0.0015428130624839875</c:v>
                </c:pt>
                <c:pt idx="43">
                  <c:v>0.001084010840108388</c:v>
                </c:pt>
                <c:pt idx="44">
                  <c:v>0.0070669364260679286</c:v>
                </c:pt>
                <c:pt idx="45">
                  <c:v>0.005517670694094645</c:v>
                </c:pt>
                <c:pt idx="46">
                  <c:v>0.003151733453399382</c:v>
                </c:pt>
                <c:pt idx="47">
                  <c:v>-0.01391382405745073</c:v>
                </c:pt>
                <c:pt idx="48">
                  <c:v>0.01624374146563506</c:v>
                </c:pt>
                <c:pt idx="49">
                  <c:v>0.019371273409288018</c:v>
                </c:pt>
                <c:pt idx="50">
                  <c:v>0.0037347247013593677</c:v>
                </c:pt>
                <c:pt idx="51">
                  <c:v>-0.013953106618149889</c:v>
                </c:pt>
                <c:pt idx="52">
                  <c:v>-0.004578119364057696</c:v>
                </c:pt>
                <c:pt idx="53">
                  <c:v>0.00448767978592935</c:v>
                </c:pt>
                <c:pt idx="54">
                  <c:v>0.010211726836307148</c:v>
                </c:pt>
                <c:pt idx="55">
                  <c:v>0.025491003982969298</c:v>
                </c:pt>
                <c:pt idx="56">
                  <c:v>-0.004044678970347926</c:v>
                </c:pt>
                <c:pt idx="57">
                  <c:v>-0.0036038943574847374</c:v>
                </c:pt>
                <c:pt idx="58">
                  <c:v>-0.008961347441157399</c:v>
                </c:pt>
                <c:pt idx="59">
                  <c:v>0.011684279333260604</c:v>
                </c:pt>
                <c:pt idx="60">
                  <c:v>0.012006999596177242</c:v>
                </c:pt>
                <c:pt idx="61">
                  <c:v>-0.007288978744912369</c:v>
                </c:pt>
                <c:pt idx="62">
                  <c:v>0.009084331537904939</c:v>
                </c:pt>
                <c:pt idx="63">
                  <c:v>-0.0006904610155087925</c:v>
                </c:pt>
                <c:pt idx="64">
                  <c:v>-0.014615997874036673</c:v>
                </c:pt>
                <c:pt idx="65">
                  <c:v>0.010679611650485381</c:v>
                </c:pt>
                <c:pt idx="66">
                  <c:v>-0.013528658341338439</c:v>
                </c:pt>
                <c:pt idx="67">
                  <c:v>0.0016500311071438601</c:v>
                </c:pt>
                <c:pt idx="68">
                  <c:v>-0.0007831487982717268</c:v>
                </c:pt>
                <c:pt idx="69">
                  <c:v>0.006459284884192283</c:v>
                </c:pt>
                <c:pt idx="70">
                  <c:v>0.002604726100966776</c:v>
                </c:pt>
                <c:pt idx="71">
                  <c:v>-0.00024104775423850828</c:v>
                </c:pt>
                <c:pt idx="72">
                  <c:v>0.01559151307329632</c:v>
                </c:pt>
                <c:pt idx="73">
                  <c:v>-0.0003956739646532158</c:v>
                </c:pt>
                <c:pt idx="74">
                  <c:v>-0.009156880854993985</c:v>
                </c:pt>
                <c:pt idx="75">
                  <c:v>0.009747523170341877</c:v>
                </c:pt>
                <c:pt idx="76">
                  <c:v>0.0029540539114838965</c:v>
                </c:pt>
                <c:pt idx="77">
                  <c:v>-0.026324094040919347</c:v>
                </c:pt>
                <c:pt idx="78">
                  <c:v>-0.004159351789331588</c:v>
                </c:pt>
                <c:pt idx="79">
                  <c:v>0.004719155976241516</c:v>
                </c:pt>
                <c:pt idx="80">
                  <c:v>0.0019705763260899397</c:v>
                </c:pt>
                <c:pt idx="81">
                  <c:v>-0.01821218815668945</c:v>
                </c:pt>
                <c:pt idx="82">
                  <c:v>-0.01341858295373482</c:v>
                </c:pt>
                <c:pt idx="83">
                  <c:v>0.007120407198286659</c:v>
                </c:pt>
                <c:pt idx="84">
                  <c:v>-0.01472009721339994</c:v>
                </c:pt>
                <c:pt idx="85">
                  <c:v>-0.002074223567664562</c:v>
                </c:pt>
                <c:pt idx="86">
                  <c:v>0.008061344868265841</c:v>
                </c:pt>
                <c:pt idx="87">
                  <c:v>0.006770876870350266</c:v>
                </c:pt>
                <c:pt idx="88">
                  <c:v>0.017574449241669496</c:v>
                </c:pt>
                <c:pt idx="89">
                  <c:v>-0.008485870481681954</c:v>
                </c:pt>
                <c:pt idx="90">
                  <c:v>-0.012755451927033421</c:v>
                </c:pt>
                <c:pt idx="91">
                  <c:v>-0.0026118366212836835</c:v>
                </c:pt>
                <c:pt idx="92">
                  <c:v>-0.0013371963449965495</c:v>
                </c:pt>
                <c:pt idx="93">
                  <c:v>-0.014477795135014498</c:v>
                </c:pt>
                <c:pt idx="94">
                  <c:v>-0.006538537745195172</c:v>
                </c:pt>
                <c:pt idx="95">
                  <c:v>0.004159781184112996</c:v>
                </c:pt>
                <c:pt idx="96">
                  <c:v>0.002950856883441211</c:v>
                </c:pt>
                <c:pt idx="97">
                  <c:v>0.013466108407830685</c:v>
                </c:pt>
                <c:pt idx="98">
                  <c:v>-0.01013287181777578</c:v>
                </c:pt>
                <c:pt idx="99">
                  <c:v>0.023236795352640956</c:v>
                </c:pt>
                <c:pt idx="100">
                  <c:v>-0.004740250792338507</c:v>
                </c:pt>
                <c:pt idx="101">
                  <c:v>0.008224185196466722</c:v>
                </c:pt>
                <c:pt idx="102">
                  <c:v>-0.0013183191430926069</c:v>
                </c:pt>
                <c:pt idx="103">
                  <c:v>-0.006435289588031549</c:v>
                </c:pt>
                <c:pt idx="104">
                  <c:v>0.006809123117803467</c:v>
                </c:pt>
                <c:pt idx="105">
                  <c:v>0.012096552482542412</c:v>
                </c:pt>
                <c:pt idx="106">
                  <c:v>0.0021730863258543256</c:v>
                </c:pt>
                <c:pt idx="107">
                  <c:v>0.001599176017780601</c:v>
                </c:pt>
                <c:pt idx="108">
                  <c:v>-0.01347657835629032</c:v>
                </c:pt>
                <c:pt idx="109">
                  <c:v>-0.006391441503223108</c:v>
                </c:pt>
                <c:pt idx="110">
                  <c:v>0.0022086025067637196</c:v>
                </c:pt>
              </c:numCache>
            </c:numRef>
          </c:val>
          <c:smooth val="0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13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  <c:max val="0.05"/>
          <c:min val="-0.0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Cordia New"/>
                    <a:ea typeface="Cordia New"/>
                    <a:cs typeface="Cordia New"/>
                  </a:rPr>
                  <a:t>% CHANGE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53443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Cordia New"/>
                <a:ea typeface="Cordia New"/>
                <a:cs typeface="Cordia New"/>
              </a:rPr>
              <a:t>RETURN SINCE 21/OCT/2002 : NAV vs SET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7975"/>
          <c:w val="0.748"/>
          <c:h val="0.745"/>
        </c:manualLayout>
      </c:layout>
      <c:lineChart>
        <c:grouping val="standard"/>
        <c:varyColors val="0"/>
        <c:ser>
          <c:idx val="0"/>
          <c:order val="0"/>
          <c:tx>
            <c:v>RETURN OF NAV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'Perf.'!$A$4:$A$200</c:f>
              <c:strCache>
                <c:ptCount val="1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</c:strCache>
            </c:strRef>
          </c:cat>
          <c:val>
            <c:numRef>
              <c:f>'Perf.'!$E$3:$E$200</c:f>
              <c:numCache>
                <c:ptCount val="198"/>
                <c:pt idx="0">
                  <c:v>0</c:v>
                </c:pt>
                <c:pt idx="1">
                  <c:v>0.0165297424820363</c:v>
                </c:pt>
                <c:pt idx="2">
                  <c:v>0.039310464015937935</c:v>
                </c:pt>
                <c:pt idx="3">
                  <c:v>0.049781341601896914</c:v>
                </c:pt>
                <c:pt idx="4">
                  <c:v>0.06102427417091257</c:v>
                </c:pt>
                <c:pt idx="5">
                  <c:v>0.05733125342861635</c:v>
                </c:pt>
                <c:pt idx="6">
                  <c:v>0.0599965249411413</c:v>
                </c:pt>
                <c:pt idx="7">
                  <c:v>0.06298698500471504</c:v>
                </c:pt>
                <c:pt idx="8">
                  <c:v>0.0822013788702455</c:v>
                </c:pt>
                <c:pt idx="9">
                  <c:v>0.07346601878810312</c:v>
                </c:pt>
                <c:pt idx="10">
                  <c:v>0.04264326862638372</c:v>
                </c:pt>
                <c:pt idx="11">
                  <c:v>0.03962550893767869</c:v>
                </c:pt>
                <c:pt idx="12">
                  <c:v>0.05127879527109702</c:v>
                </c:pt>
                <c:pt idx="13">
                  <c:v>0.048432511478681974</c:v>
                </c:pt>
                <c:pt idx="14">
                  <c:v>0.052486904761651895</c:v>
                </c:pt>
                <c:pt idx="15">
                  <c:v>0.034502374802799315</c:v>
                </c:pt>
                <c:pt idx="16">
                  <c:v>0.03330073467457523</c:v>
                </c:pt>
                <c:pt idx="17">
                  <c:v>0.029691477261361975</c:v>
                </c:pt>
                <c:pt idx="18">
                  <c:v>0.0006303279494800154</c:v>
                </c:pt>
                <c:pt idx="19">
                  <c:v>0.004704961205594321</c:v>
                </c:pt>
                <c:pt idx="20">
                  <c:v>-0.01135001342167111</c:v>
                </c:pt>
                <c:pt idx="21">
                  <c:v>-0.002381445975386351</c:v>
                </c:pt>
                <c:pt idx="22">
                  <c:v>0.002329052134485347</c:v>
                </c:pt>
                <c:pt idx="23">
                  <c:v>0.011149477600600574</c:v>
                </c:pt>
                <c:pt idx="24">
                  <c:v>0.011149477600600574</c:v>
                </c:pt>
                <c:pt idx="25">
                  <c:v>0.008526879690219466</c:v>
                </c:pt>
                <c:pt idx="26">
                  <c:v>0.005565415398807316</c:v>
                </c:pt>
                <c:pt idx="27">
                  <c:v>0.0025951547866560924</c:v>
                </c:pt>
                <c:pt idx="28">
                  <c:v>0.016256212839749037</c:v>
                </c:pt>
                <c:pt idx="29">
                  <c:v>0.016256212839749037</c:v>
                </c:pt>
                <c:pt idx="30">
                  <c:v>0.0037047507556676827</c:v>
                </c:pt>
                <c:pt idx="31">
                  <c:v>0.0005269998141927677</c:v>
                </c:pt>
                <c:pt idx="32">
                  <c:v>-0.0015982543418524217</c:v>
                </c:pt>
                <c:pt idx="33">
                  <c:v>-0.004792925063147834</c:v>
                </c:pt>
                <c:pt idx="34">
                  <c:v>0.004172310305839984</c:v>
                </c:pt>
                <c:pt idx="35">
                  <c:v>0.011583984720088727</c:v>
                </c:pt>
                <c:pt idx="36">
                  <c:v>0.005978540418297067</c:v>
                </c:pt>
                <c:pt idx="37">
                  <c:v>0.000165340413230697</c:v>
                </c:pt>
                <c:pt idx="38">
                  <c:v>0.0034228565297279236</c:v>
                </c:pt>
                <c:pt idx="39">
                  <c:v>0.005028864099761414</c:v>
                </c:pt>
                <c:pt idx="40">
                  <c:v>0.0055245957305167705</c:v>
                </c:pt>
                <c:pt idx="41">
                  <c:v>0.0031683142830833543</c:v>
                </c:pt>
                <c:pt idx="42">
                  <c:v>0.0031631427767500504</c:v>
                </c:pt>
                <c:pt idx="43">
                  <c:v>0.004560333173275402</c:v>
                </c:pt>
                <c:pt idx="44">
                  <c:v>0.031647301672477354</c:v>
                </c:pt>
                <c:pt idx="45">
                  <c:v>0.058401529912025976</c:v>
                </c:pt>
                <c:pt idx="46">
                  <c:v>0.05875445100782881</c:v>
                </c:pt>
                <c:pt idx="47">
                  <c:v>0.05722075433511897</c:v>
                </c:pt>
                <c:pt idx="48">
                  <c:v>0.05875109955801233</c:v>
                </c:pt>
                <c:pt idx="49">
                  <c:v>0.062159333808199005</c:v>
                </c:pt>
                <c:pt idx="50">
                  <c:v>0.05408048549866821</c:v>
                </c:pt>
                <c:pt idx="51">
                  <c:v>0.015242562475373138</c:v>
                </c:pt>
                <c:pt idx="52">
                  <c:v>0.00562330030389108</c:v>
                </c:pt>
                <c:pt idx="53">
                  <c:v>0.024837634111797093</c:v>
                </c:pt>
                <c:pt idx="54">
                  <c:v>0.06370539755071608</c:v>
                </c:pt>
                <c:pt idx="55">
                  <c:v>0.08719100071958998</c:v>
                </c:pt>
                <c:pt idx="56">
                  <c:v>0.08719100071958998</c:v>
                </c:pt>
                <c:pt idx="57">
                  <c:v>0.08719100071958998</c:v>
                </c:pt>
                <c:pt idx="58">
                  <c:v>0.08719100071958998</c:v>
                </c:pt>
                <c:pt idx="59">
                  <c:v>0.08719100071958998</c:v>
                </c:pt>
                <c:pt idx="60">
                  <c:v>0.08719100071958998</c:v>
                </c:pt>
                <c:pt idx="61">
                  <c:v>0.08719100071958998</c:v>
                </c:pt>
                <c:pt idx="62">
                  <c:v>0.08719100071958998</c:v>
                </c:pt>
                <c:pt idx="63">
                  <c:v>0.08880576527903138</c:v>
                </c:pt>
                <c:pt idx="64">
                  <c:v>0.10958466503894002</c:v>
                </c:pt>
                <c:pt idx="65">
                  <c:v>0.1004586497042836</c:v>
                </c:pt>
                <c:pt idx="66">
                  <c:v>0.1016617883711905</c:v>
                </c:pt>
                <c:pt idx="67">
                  <c:v>0.1016617883711905</c:v>
                </c:pt>
                <c:pt idx="68">
                  <c:v>0.10339338418628169</c:v>
                </c:pt>
                <c:pt idx="69">
                  <c:v>0.10339338418628391</c:v>
                </c:pt>
                <c:pt idx="70">
                  <c:v>0.10339338418628391</c:v>
                </c:pt>
                <c:pt idx="71">
                  <c:v>0.10166478161217378</c:v>
                </c:pt>
                <c:pt idx="72">
                  <c:v>0.10859116487253836</c:v>
                </c:pt>
                <c:pt idx="73">
                  <c:v>0.10515179563189078</c:v>
                </c:pt>
                <c:pt idx="74">
                  <c:v>0.10317460547035791</c:v>
                </c:pt>
                <c:pt idx="75">
                  <c:v>0.11377372719750597</c:v>
                </c:pt>
                <c:pt idx="76">
                  <c:v>0.11605757608226626</c:v>
                </c:pt>
                <c:pt idx="77">
                  <c:v>0.08267235291269173</c:v>
                </c:pt>
                <c:pt idx="78">
                  <c:v>0.08340286247793562</c:v>
                </c:pt>
                <c:pt idx="79">
                  <c:v>0.09552208070832002</c:v>
                </c:pt>
                <c:pt idx="80">
                  <c:v>0.08489744550065612</c:v>
                </c:pt>
                <c:pt idx="81">
                  <c:v>0.06763602027853091</c:v>
                </c:pt>
                <c:pt idx="82">
                  <c:v>0.058417711424340955</c:v>
                </c:pt>
                <c:pt idx="83">
                  <c:v>0.055028659992708</c:v>
                </c:pt>
                <c:pt idx="84">
                  <c:v>0.014383566841309627</c:v>
                </c:pt>
                <c:pt idx="85">
                  <c:v>0.0045160533452015365</c:v>
                </c:pt>
                <c:pt idx="86">
                  <c:v>0.009291427690358475</c:v>
                </c:pt>
                <c:pt idx="87">
                  <c:v>0.019361375166663697</c:v>
                </c:pt>
                <c:pt idx="88">
                  <c:v>0.047088735148519634</c:v>
                </c:pt>
                <c:pt idx="89">
                  <c:v>0.051660905474145986</c:v>
                </c:pt>
                <c:pt idx="90">
                  <c:v>0.04831599702817721</c:v>
                </c:pt>
                <c:pt idx="91">
                  <c:v>0.04386607765747027</c:v>
                </c:pt>
                <c:pt idx="92">
                  <c:v>0.03731570492523941</c:v>
                </c:pt>
                <c:pt idx="93">
                  <c:v>0.02856590519217005</c:v>
                </c:pt>
                <c:pt idx="94">
                  <c:v>0.02339025498325046</c:v>
                </c:pt>
                <c:pt idx="95">
                  <c:v>0.02339025498325046</c:v>
                </c:pt>
                <c:pt idx="96">
                  <c:v>0.023382871440783392</c:v>
                </c:pt>
                <c:pt idx="97">
                  <c:v>0.023382871440783392</c:v>
                </c:pt>
                <c:pt idx="98">
                  <c:v>0.023382871440783392</c:v>
                </c:pt>
                <c:pt idx="99">
                  <c:v>0.023382871440783392</c:v>
                </c:pt>
                <c:pt idx="100">
                  <c:v>0.023382871440783392</c:v>
                </c:pt>
                <c:pt idx="101">
                  <c:v>0.008085433526179188</c:v>
                </c:pt>
                <c:pt idx="102">
                  <c:v>-0.011367976440352241</c:v>
                </c:pt>
                <c:pt idx="103">
                  <c:v>-0.07103552651355671</c:v>
                </c:pt>
                <c:pt idx="104">
                  <c:v>-0.06337245111371406</c:v>
                </c:pt>
                <c:pt idx="105">
                  <c:v>-0.05228723678206583</c:v>
                </c:pt>
                <c:pt idx="106">
                  <c:v>-0.05228723678206583</c:v>
                </c:pt>
                <c:pt idx="107">
                  <c:v>-0.05228723678206583</c:v>
                </c:pt>
                <c:pt idx="108">
                  <c:v>-0.12922976121746674</c:v>
                </c:pt>
                <c:pt idx="109">
                  <c:v>-0.11243869486453795</c:v>
                </c:pt>
                <c:pt idx="110">
                  <c:v>-0.07974121529174577</c:v>
                </c:pt>
              </c:numCache>
            </c:numRef>
          </c:val>
          <c:smooth val="0"/>
        </c:ser>
        <c:ser>
          <c:idx val="1"/>
          <c:order val="1"/>
          <c:tx>
            <c:v>RETURN OF SET INDEX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'Perf.'!$A$4:$A$200</c:f>
              <c:strCache>
                <c:ptCount val="197"/>
                <c:pt idx="0">
                  <c:v>22/10</c:v>
                </c:pt>
                <c:pt idx="1">
                  <c:v>24/10</c:v>
                </c:pt>
                <c:pt idx="2">
                  <c:v>25/10</c:v>
                </c:pt>
                <c:pt idx="3">
                  <c:v>28/10</c:v>
                </c:pt>
                <c:pt idx="4">
                  <c:v>29/10</c:v>
                </c:pt>
                <c:pt idx="5">
                  <c:v>30/10</c:v>
                </c:pt>
                <c:pt idx="6">
                  <c:v>31/10</c:v>
                </c:pt>
                <c:pt idx="7">
                  <c:v>1/11</c:v>
                </c:pt>
                <c:pt idx="8">
                  <c:v>4/11</c:v>
                </c:pt>
                <c:pt idx="9">
                  <c:v>5/11</c:v>
                </c:pt>
                <c:pt idx="10">
                  <c:v>6/11</c:v>
                </c:pt>
                <c:pt idx="11">
                  <c:v>7/11</c:v>
                </c:pt>
                <c:pt idx="12">
                  <c:v>8/11</c:v>
                </c:pt>
                <c:pt idx="13">
                  <c:v>11/11</c:v>
                </c:pt>
                <c:pt idx="14">
                  <c:v>12/11</c:v>
                </c:pt>
                <c:pt idx="15">
                  <c:v>13/11</c:v>
                </c:pt>
                <c:pt idx="16">
                  <c:v>14/11</c:v>
                </c:pt>
                <c:pt idx="17">
                  <c:v>15/11</c:v>
                </c:pt>
                <c:pt idx="18">
                  <c:v>18/11</c:v>
                </c:pt>
                <c:pt idx="19">
                  <c:v>19/11</c:v>
                </c:pt>
                <c:pt idx="20">
                  <c:v>20/11</c:v>
                </c:pt>
                <c:pt idx="21">
                  <c:v>21/11</c:v>
                </c:pt>
                <c:pt idx="22">
                  <c:v>22/11</c:v>
                </c:pt>
                <c:pt idx="23">
                  <c:v>25/11</c:v>
                </c:pt>
                <c:pt idx="24">
                  <c:v>26/11</c:v>
                </c:pt>
                <c:pt idx="25">
                  <c:v>27/11</c:v>
                </c:pt>
                <c:pt idx="26">
                  <c:v>28/11</c:v>
                </c:pt>
                <c:pt idx="27">
                  <c:v>29/11</c:v>
                </c:pt>
                <c:pt idx="28">
                  <c:v>2/12</c:v>
                </c:pt>
                <c:pt idx="29">
                  <c:v>3/12</c:v>
                </c:pt>
                <c:pt idx="30">
                  <c:v>4/12</c:v>
                </c:pt>
                <c:pt idx="31">
                  <c:v>6/12</c:v>
                </c:pt>
                <c:pt idx="32">
                  <c:v>9/12</c:v>
                </c:pt>
                <c:pt idx="33">
                  <c:v>11/12</c:v>
                </c:pt>
                <c:pt idx="34">
                  <c:v>12/12</c:v>
                </c:pt>
                <c:pt idx="35">
                  <c:v>13/12</c:v>
                </c:pt>
                <c:pt idx="36">
                  <c:v>16/12</c:v>
                </c:pt>
                <c:pt idx="37">
                  <c:v>17/12</c:v>
                </c:pt>
                <c:pt idx="38">
                  <c:v>18/12</c:v>
                </c:pt>
                <c:pt idx="39">
                  <c:v>19/12</c:v>
                </c:pt>
                <c:pt idx="40">
                  <c:v>20/12</c:v>
                </c:pt>
                <c:pt idx="41">
                  <c:v>23/12</c:v>
                </c:pt>
                <c:pt idx="42">
                  <c:v>24/12</c:v>
                </c:pt>
                <c:pt idx="43">
                  <c:v>25/12</c:v>
                </c:pt>
                <c:pt idx="44">
                  <c:v>26/12</c:v>
                </c:pt>
                <c:pt idx="45">
                  <c:v>27/12</c:v>
                </c:pt>
                <c:pt idx="46">
                  <c:v>2/1</c:v>
                </c:pt>
                <c:pt idx="47">
                  <c:v>3/1</c:v>
                </c:pt>
                <c:pt idx="48">
                  <c:v>6/1</c:v>
                </c:pt>
                <c:pt idx="49">
                  <c:v>7/1</c:v>
                </c:pt>
                <c:pt idx="50">
                  <c:v>8/1</c:v>
                </c:pt>
                <c:pt idx="51">
                  <c:v>9/1</c:v>
                </c:pt>
                <c:pt idx="52">
                  <c:v>10/1</c:v>
                </c:pt>
                <c:pt idx="53">
                  <c:v>13/1</c:v>
                </c:pt>
                <c:pt idx="54">
                  <c:v>14/1</c:v>
                </c:pt>
                <c:pt idx="55">
                  <c:v>15/1</c:v>
                </c:pt>
                <c:pt idx="56">
                  <c:v>16/1</c:v>
                </c:pt>
                <c:pt idx="57">
                  <c:v>17/1</c:v>
                </c:pt>
                <c:pt idx="58">
                  <c:v>20/1</c:v>
                </c:pt>
                <c:pt idx="59">
                  <c:v>21/1</c:v>
                </c:pt>
                <c:pt idx="60">
                  <c:v>22/1</c:v>
                </c:pt>
                <c:pt idx="61">
                  <c:v>23/1</c:v>
                </c:pt>
                <c:pt idx="62">
                  <c:v>24/1</c:v>
                </c:pt>
                <c:pt idx="63">
                  <c:v>27/1</c:v>
                </c:pt>
                <c:pt idx="64">
                  <c:v>28/1</c:v>
                </c:pt>
                <c:pt idx="65">
                  <c:v>29/1</c:v>
                </c:pt>
                <c:pt idx="66">
                  <c:v>30/1</c:v>
                </c:pt>
                <c:pt idx="67">
                  <c:v>31/1</c:v>
                </c:pt>
                <c:pt idx="68">
                  <c:v>3/2</c:v>
                </c:pt>
                <c:pt idx="69">
                  <c:v>4/2</c:v>
                </c:pt>
                <c:pt idx="70">
                  <c:v>5/2</c:v>
                </c:pt>
                <c:pt idx="71">
                  <c:v>6/2</c:v>
                </c:pt>
                <c:pt idx="72">
                  <c:v>7/2</c:v>
                </c:pt>
                <c:pt idx="73">
                  <c:v>10/2</c:v>
                </c:pt>
                <c:pt idx="74">
                  <c:v>11/2</c:v>
                </c:pt>
                <c:pt idx="75">
                  <c:v>12/2</c:v>
                </c:pt>
                <c:pt idx="76">
                  <c:v>13/2</c:v>
                </c:pt>
                <c:pt idx="77">
                  <c:v>14/2</c:v>
                </c:pt>
                <c:pt idx="78">
                  <c:v>18/2</c:v>
                </c:pt>
                <c:pt idx="79">
                  <c:v>19/2</c:v>
                </c:pt>
                <c:pt idx="80">
                  <c:v>20/2</c:v>
                </c:pt>
                <c:pt idx="81">
                  <c:v>21/2</c:v>
                </c:pt>
                <c:pt idx="82">
                  <c:v>24/2</c:v>
                </c:pt>
                <c:pt idx="83">
                  <c:v>25/2</c:v>
                </c:pt>
                <c:pt idx="84">
                  <c:v>26/2</c:v>
                </c:pt>
                <c:pt idx="85">
                  <c:v>27/2</c:v>
                </c:pt>
                <c:pt idx="86">
                  <c:v>28/2</c:v>
                </c:pt>
                <c:pt idx="87">
                  <c:v>3/03</c:v>
                </c:pt>
                <c:pt idx="88">
                  <c:v>4/03</c:v>
                </c:pt>
                <c:pt idx="89">
                  <c:v>5/03</c:v>
                </c:pt>
                <c:pt idx="90">
                  <c:v>6/03</c:v>
                </c:pt>
                <c:pt idx="91">
                  <c:v>7/03</c:v>
                </c:pt>
                <c:pt idx="92">
                  <c:v>10/3</c:v>
                </c:pt>
                <c:pt idx="93">
                  <c:v>11/3</c:v>
                </c:pt>
                <c:pt idx="94">
                  <c:v>12/3</c:v>
                </c:pt>
                <c:pt idx="95">
                  <c:v>13/3</c:v>
                </c:pt>
                <c:pt idx="96">
                  <c:v>14/3</c:v>
                </c:pt>
                <c:pt idx="97">
                  <c:v>17/3</c:v>
                </c:pt>
                <c:pt idx="98">
                  <c:v>18/3</c:v>
                </c:pt>
                <c:pt idx="99">
                  <c:v>19/3</c:v>
                </c:pt>
                <c:pt idx="100">
                  <c:v>20/3</c:v>
                </c:pt>
                <c:pt idx="101">
                  <c:v>21/3</c:v>
                </c:pt>
                <c:pt idx="102">
                  <c:v>24/3</c:v>
                </c:pt>
                <c:pt idx="103">
                  <c:v>25/3</c:v>
                </c:pt>
                <c:pt idx="104">
                  <c:v>26/3</c:v>
                </c:pt>
                <c:pt idx="105">
                  <c:v>27/3</c:v>
                </c:pt>
                <c:pt idx="106">
                  <c:v>28/3</c:v>
                </c:pt>
                <c:pt idx="107">
                  <c:v>31/3</c:v>
                </c:pt>
                <c:pt idx="108">
                  <c:v>1/4</c:v>
                </c:pt>
                <c:pt idx="109">
                  <c:v>2/4</c:v>
                </c:pt>
              </c:strCache>
            </c:strRef>
          </c:cat>
          <c:val>
            <c:numRef>
              <c:f>'Perf.'!$I$3:$I$200</c:f>
              <c:numCache>
                <c:ptCount val="198"/>
                <c:pt idx="0">
                  <c:v>0</c:v>
                </c:pt>
                <c:pt idx="1">
                  <c:v>0.005605902172650189</c:v>
                </c:pt>
                <c:pt idx="2">
                  <c:v>0.006703501895361824</c:v>
                </c:pt>
                <c:pt idx="3">
                  <c:v>0.012098925883359184</c:v>
                </c:pt>
                <c:pt idx="4">
                  <c:v>0.03781206368970722</c:v>
                </c:pt>
                <c:pt idx="5">
                  <c:v>0.028103597459501785</c:v>
                </c:pt>
                <c:pt idx="6">
                  <c:v>0.031070118154515238</c:v>
                </c:pt>
                <c:pt idx="7">
                  <c:v>0.037323639281275876</c:v>
                </c:pt>
                <c:pt idx="8">
                  <c:v>0.03861136113335577</c:v>
                </c:pt>
                <c:pt idx="9">
                  <c:v>0.041742651672385084</c:v>
                </c:pt>
                <c:pt idx="10">
                  <c:v>0.0332978356188733</c:v>
                </c:pt>
                <c:pt idx="11">
                  <c:v>0.027760550294084894</c:v>
                </c:pt>
                <c:pt idx="12">
                  <c:v>0.038105377880291696</c:v>
                </c:pt>
                <c:pt idx="13">
                  <c:v>0.031223488997619567</c:v>
                </c:pt>
                <c:pt idx="14">
                  <c:v>0.018153066462408336</c:v>
                </c:pt>
                <c:pt idx="15">
                  <c:v>0.0030543108967044305</c:v>
                </c:pt>
                <c:pt idx="16">
                  <c:v>-0.0010028369283744728</c:v>
                </c:pt>
                <c:pt idx="17">
                  <c:v>0.014360738594656261</c:v>
                </c:pt>
                <c:pt idx="18">
                  <c:v>0.03525198375871994</c:v>
                </c:pt>
                <c:pt idx="19">
                  <c:v>0.037666086610729864</c:v>
                </c:pt>
                <c:pt idx="20">
                  <c:v>0.027920917190399373</c:v>
                </c:pt>
                <c:pt idx="21">
                  <c:v>0.02384874932659077</c:v>
                </c:pt>
                <c:pt idx="22">
                  <c:v>0.04162375074631929</c:v>
                </c:pt>
                <c:pt idx="23">
                  <c:v>0.05320169963595208</c:v>
                </c:pt>
                <c:pt idx="24">
                  <c:v>0.05855209539976244</c:v>
                </c:pt>
                <c:pt idx="25">
                  <c:v>0.04944447737106797</c:v>
                </c:pt>
                <c:pt idx="26">
                  <c:v>0.04983206353977881</c:v>
                </c:pt>
                <c:pt idx="27">
                  <c:v>0.05796821962114036</c:v>
                </c:pt>
                <c:pt idx="28">
                  <c:v>0.05964270972517824</c:v>
                </c:pt>
                <c:pt idx="29">
                  <c:v>0.06449335373723644</c:v>
                </c:pt>
                <c:pt idx="30">
                  <c:v>0.057729778860644364</c:v>
                </c:pt>
                <c:pt idx="31">
                  <c:v>0.059789143478014416</c:v>
                </c:pt>
                <c:pt idx="32">
                  <c:v>0.060200169948119026</c:v>
                </c:pt>
                <c:pt idx="33">
                  <c:v>0.060912323115831224</c:v>
                </c:pt>
                <c:pt idx="34">
                  <c:v>0.0612134042708879</c:v>
                </c:pt>
                <c:pt idx="35">
                  <c:v>0.05026829399890191</c:v>
                </c:pt>
                <c:pt idx="36">
                  <c:v>0.03571619971461045</c:v>
                </c:pt>
                <c:pt idx="37">
                  <c:v>0.029343375458574565</c:v>
                </c:pt>
                <c:pt idx="38">
                  <c:v>0.02623541625760256</c:v>
                </c:pt>
                <c:pt idx="39">
                  <c:v>0.0199717765444263</c:v>
                </c:pt>
                <c:pt idx="40">
                  <c:v>0.018916503028939435</c:v>
                </c:pt>
                <c:pt idx="41">
                  <c:v>0.018231278189538982</c:v>
                </c:pt>
                <c:pt idx="42">
                  <c:v>0.01977409125202297</c:v>
                </c:pt>
                <c:pt idx="43">
                  <c:v>0.020858102092131358</c:v>
                </c:pt>
                <c:pt idx="44">
                  <c:v>0.02792503851819929</c:v>
                </c:pt>
                <c:pt idx="45">
                  <c:v>0.03344270921229393</c:v>
                </c:pt>
                <c:pt idx="46">
                  <c:v>0.03659444266569332</c:v>
                </c:pt>
                <c:pt idx="47">
                  <c:v>0.022680618608242588</c:v>
                </c:pt>
                <c:pt idx="48">
                  <c:v>0.038924360073877645</c:v>
                </c:pt>
                <c:pt idx="49">
                  <c:v>0.05829563348316566</c:v>
                </c:pt>
                <c:pt idx="50">
                  <c:v>0.06203035818452503</c:v>
                </c:pt>
                <c:pt idx="51">
                  <c:v>0.04807725156637514</c:v>
                </c:pt>
                <c:pt idx="52">
                  <c:v>0.04349913220231745</c:v>
                </c:pt>
                <c:pt idx="53">
                  <c:v>0.0479868119882468</c:v>
                </c:pt>
                <c:pt idx="54">
                  <c:v>0.05819853882455395</c:v>
                </c:pt>
                <c:pt idx="55">
                  <c:v>0.08368954280752325</c:v>
                </c:pt>
                <c:pt idx="56">
                  <c:v>0.07964486383717533</c:v>
                </c:pt>
                <c:pt idx="57">
                  <c:v>0.07604096947969059</c:v>
                </c:pt>
                <c:pt idx="58">
                  <c:v>0.0670796220385332</c:v>
                </c:pt>
                <c:pt idx="59">
                  <c:v>0.0787639013717938</c:v>
                </c:pt>
                <c:pt idx="60">
                  <c:v>0.09077090096797104</c:v>
                </c:pt>
                <c:pt idx="61">
                  <c:v>0.08348192222305867</c:v>
                </c:pt>
                <c:pt idx="62">
                  <c:v>0.09256625376096361</c:v>
                </c:pt>
                <c:pt idx="63">
                  <c:v>0.09187579274545482</c:v>
                </c:pt>
                <c:pt idx="64">
                  <c:v>0.07725979487141815</c:v>
                </c:pt>
                <c:pt idx="65">
                  <c:v>0.08793940652190353</c:v>
                </c:pt>
                <c:pt idx="66">
                  <c:v>0.07441074818056509</c:v>
                </c:pt>
                <c:pt idx="67">
                  <c:v>0.07606077928770895</c:v>
                </c:pt>
                <c:pt idx="68">
                  <c:v>0.07527763048943723</c:v>
                </c:pt>
                <c:pt idx="69">
                  <c:v>0.08173691537362951</c:v>
                </c:pt>
                <c:pt idx="70">
                  <c:v>0.08434164147459629</c:v>
                </c:pt>
                <c:pt idx="71">
                  <c:v>0.08410059372035777</c:v>
                </c:pt>
                <c:pt idx="72">
                  <c:v>0.09969210679365409</c:v>
                </c:pt>
                <c:pt idx="73">
                  <c:v>0.09929643282900087</c:v>
                </c:pt>
                <c:pt idx="74">
                  <c:v>0.09013955197400689</c:v>
                </c:pt>
                <c:pt idx="75">
                  <c:v>0.09988707514434876</c:v>
                </c:pt>
                <c:pt idx="76">
                  <c:v>0.10284112905583266</c:v>
                </c:pt>
                <c:pt idx="77">
                  <c:v>0.07651703501491332</c:v>
                </c:pt>
                <c:pt idx="78">
                  <c:v>0.07235768322558173</c:v>
                </c:pt>
                <c:pt idx="79">
                  <c:v>0.07707683920182325</c:v>
                </c:pt>
                <c:pt idx="80">
                  <c:v>0.07904741552791318</c:v>
                </c:pt>
                <c:pt idx="81">
                  <c:v>0.06083522737122373</c:v>
                </c:pt>
                <c:pt idx="82">
                  <c:v>0.04741664441748891</c:v>
                </c:pt>
                <c:pt idx="83">
                  <c:v>0.05453705161577557</c:v>
                </c:pt>
                <c:pt idx="84">
                  <c:v>0.039816954402375634</c:v>
                </c:pt>
                <c:pt idx="85">
                  <c:v>0.03774273083471107</c:v>
                </c:pt>
                <c:pt idx="86">
                  <c:v>0.04580407570297691</c:v>
                </c:pt>
                <c:pt idx="87">
                  <c:v>0.05257495257332718</c:v>
                </c:pt>
                <c:pt idx="88">
                  <c:v>0.07014940181499668</c:v>
                </c:pt>
                <c:pt idx="89">
                  <c:v>0.06166353133331473</c:v>
                </c:pt>
                <c:pt idx="90">
                  <c:v>0.04890807940628131</c:v>
                </c:pt>
                <c:pt idx="91">
                  <c:v>0.046296242784997624</c:v>
                </c:pt>
                <c:pt idx="92">
                  <c:v>0.04495904644000107</c:v>
                </c:pt>
                <c:pt idx="93">
                  <c:v>0.030481251304986575</c:v>
                </c:pt>
                <c:pt idx="94">
                  <c:v>0.023942713559791405</c:v>
                </c:pt>
                <c:pt idx="95">
                  <c:v>0.028102494743904402</c:v>
                </c:pt>
                <c:pt idx="96">
                  <c:v>0.031053351627345613</c:v>
                </c:pt>
                <c:pt idx="97">
                  <c:v>0.044519460035176296</c:v>
                </c:pt>
                <c:pt idx="98">
                  <c:v>0.03438658821740052</c:v>
                </c:pt>
                <c:pt idx="99">
                  <c:v>0.05762338357004147</c:v>
                </c:pt>
                <c:pt idx="100">
                  <c:v>0.052883132777702964</c:v>
                </c:pt>
                <c:pt idx="101">
                  <c:v>0.061107317974169684</c:v>
                </c:pt>
                <c:pt idx="102">
                  <c:v>0.05978899883107708</c:v>
                </c:pt>
                <c:pt idx="103">
                  <c:v>0.05335370924304553</c:v>
                </c:pt>
                <c:pt idx="104">
                  <c:v>0.060162832360848996</c:v>
                </c:pt>
                <c:pt idx="105">
                  <c:v>0.07225938484339141</c:v>
                </c:pt>
                <c:pt idx="106">
                  <c:v>0.07443247116924573</c:v>
                </c:pt>
                <c:pt idx="107">
                  <c:v>0.07603164718702633</c:v>
                </c:pt>
                <c:pt idx="108">
                  <c:v>0.06255506883073601</c:v>
                </c:pt>
                <c:pt idx="109">
                  <c:v>0.056163627327512906</c:v>
                </c:pt>
                <c:pt idx="110">
                  <c:v>0.058372229834276625</c:v>
                </c:pt>
              </c:numCache>
            </c:numRef>
          </c:val>
          <c:smooth val="0"/>
        </c:ser>
        <c:marker val="1"/>
        <c:axId val="1805840"/>
        <c:axId val="16252561"/>
      </c:lineChart>
      <c:catAx>
        <c:axId val="180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Cordia New"/>
                    <a:ea typeface="Cordia New"/>
                    <a:cs typeface="Cordia New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  <c:max val="0.2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ordia New"/>
                    <a:ea typeface="Cordia New"/>
                    <a:cs typeface="Cordia New"/>
                  </a:rPr>
                  <a:t>RETURN SINCE INCEPTION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0584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022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workbookViewId="0" topLeftCell="A1">
      <pane xSplit="8" ySplit="2" topLeftCell="I171" activePane="bottomRight" state="frozen"/>
      <selection pane="topLeft" activeCell="A1" sqref="A1"/>
      <selection pane="topRight" activeCell="I1" sqref="I1"/>
      <selection pane="bottomLeft" activeCell="A3" sqref="A3"/>
      <selection pane="bottomRight" activeCell="H185" sqref="H185"/>
    </sheetView>
  </sheetViews>
  <sheetFormatPr defaultColWidth="9.140625" defaultRowHeight="21.75"/>
  <cols>
    <col min="1" max="1" width="12.00390625" style="8" customWidth="1"/>
    <col min="2" max="2" width="10.00390625" style="8" customWidth="1"/>
    <col min="3" max="3" width="7.140625" style="8" customWidth="1"/>
    <col min="4" max="4" width="9.8515625" style="9" customWidth="1"/>
    <col min="5" max="7" width="10.8515625" style="3" customWidth="1"/>
    <col min="8" max="8" width="15.140625" style="3" customWidth="1"/>
    <col min="9" max="16384" width="14.7109375" style="1" customWidth="1"/>
  </cols>
  <sheetData>
    <row r="1" spans="1:8" s="5" customFormat="1" ht="21.75" thickBot="1">
      <c r="A1" s="94" t="s">
        <v>1</v>
      </c>
      <c r="B1" s="95"/>
      <c r="C1" s="95"/>
      <c r="D1" s="95"/>
      <c r="E1" s="95"/>
      <c r="F1" s="95"/>
      <c r="G1" s="95"/>
      <c r="H1" s="96"/>
    </row>
    <row r="2" spans="1:8" ht="19.5" thickBot="1">
      <c r="A2" s="18" t="s">
        <v>0</v>
      </c>
      <c r="B2" s="19" t="s">
        <v>2</v>
      </c>
      <c r="C2" s="19" t="s">
        <v>3</v>
      </c>
      <c r="D2" s="20" t="s">
        <v>4</v>
      </c>
      <c r="E2" s="21" t="s">
        <v>5</v>
      </c>
      <c r="F2" s="21" t="s">
        <v>6</v>
      </c>
      <c r="G2" s="21" t="s">
        <v>7</v>
      </c>
      <c r="H2" s="22" t="s">
        <v>8</v>
      </c>
    </row>
    <row r="3" spans="1:8" ht="18.75">
      <c r="A3" s="8" t="s">
        <v>29</v>
      </c>
      <c r="B3" s="8" t="s">
        <v>30</v>
      </c>
      <c r="C3" s="8" t="s">
        <v>16</v>
      </c>
      <c r="D3" s="9">
        <v>600</v>
      </c>
      <c r="E3" s="3">
        <v>26.75</v>
      </c>
      <c r="F3" s="3">
        <f>($D3*$E3)*0.002</f>
        <v>32.1</v>
      </c>
      <c r="G3" s="3">
        <f>$F3*0.07</f>
        <v>2.2470000000000003</v>
      </c>
      <c r="H3" s="3">
        <f>IF($C3="BUY",(($D3*$E3)+$F3+$G3)*(-1),IF($C3="SELL",($D3*$E3)-$F3-$G3))</f>
        <v>-16084.347</v>
      </c>
    </row>
    <row r="4" spans="1:8" ht="19.5" thickBot="1">
      <c r="A4" s="10"/>
      <c r="B4" s="10"/>
      <c r="C4" s="10"/>
      <c r="D4" s="11"/>
      <c r="E4" s="12"/>
      <c r="F4" s="12"/>
      <c r="G4" s="30" t="s">
        <v>14</v>
      </c>
      <c r="H4" s="30">
        <f>H3</f>
        <v>-16084.347</v>
      </c>
    </row>
    <row r="5" spans="1:10" ht="18.75">
      <c r="A5" s="8" t="s">
        <v>18</v>
      </c>
      <c r="B5" s="8" t="s">
        <v>31</v>
      </c>
      <c r="C5" s="8" t="s">
        <v>16</v>
      </c>
      <c r="D5" s="9">
        <v>100</v>
      </c>
      <c r="E5" s="3">
        <v>29.25</v>
      </c>
      <c r="F5" s="3">
        <f>($D5*$E5)*0.002</f>
        <v>5.8500000000000005</v>
      </c>
      <c r="G5" s="3">
        <f>$F5*0.07</f>
        <v>0.4095000000000001</v>
      </c>
      <c r="H5" s="3">
        <f>IF($C5="BUY",(($D5*$E5)+$F5+$G5)*(-1),IF($C5="SELL",($D5*$E5)-$F5-$G5))</f>
        <v>-2931.2595</v>
      </c>
      <c r="J5" s="4"/>
    </row>
    <row r="6" spans="1:8" ht="19.5" thickBot="1">
      <c r="A6" s="10"/>
      <c r="B6" s="10"/>
      <c r="C6" s="10"/>
      <c r="D6" s="11"/>
      <c r="E6" s="12"/>
      <c r="F6" s="12"/>
      <c r="G6" s="30" t="s">
        <v>14</v>
      </c>
      <c r="H6" s="30">
        <f>H5</f>
        <v>-2931.2595</v>
      </c>
    </row>
    <row r="7" spans="1:10" ht="18.75">
      <c r="A7" s="8" t="s">
        <v>36</v>
      </c>
      <c r="B7" s="8" t="s">
        <v>13</v>
      </c>
      <c r="C7" s="8" t="s">
        <v>37</v>
      </c>
      <c r="D7" s="9">
        <v>1000</v>
      </c>
      <c r="E7" s="3">
        <v>51.5</v>
      </c>
      <c r="F7" s="3">
        <f>($D7*$E7)*0.002</f>
        <v>103</v>
      </c>
      <c r="G7" s="3">
        <f>$F7*0.07</f>
        <v>7.210000000000001</v>
      </c>
      <c r="H7" s="3">
        <f>IF($C7="BUY",(($D7*$E7)+$F7+$G7)*(-1),IF($C7="SELL",($D7*$E7)-$F7-$G7))</f>
        <v>51389.79</v>
      </c>
      <c r="J7" s="29">
        <f>-28260.348-18138.734+$H7</f>
        <v>4990.707999999999</v>
      </c>
    </row>
    <row r="8" spans="2:8" ht="18.75">
      <c r="B8" s="8" t="s">
        <v>31</v>
      </c>
      <c r="C8" s="8" t="s">
        <v>16</v>
      </c>
      <c r="D8" s="9">
        <v>900</v>
      </c>
      <c r="E8" s="3">
        <v>29.25</v>
      </c>
      <c r="F8" s="3">
        <f>($D8*$E8)*0.002</f>
        <v>52.65</v>
      </c>
      <c r="G8" s="3">
        <f>$F8*0.07</f>
        <v>3.6855</v>
      </c>
      <c r="H8" s="3">
        <f>IF($C8="BUY",(($D8*$E8)+$F8+$G8)*(-1),IF($C8="SELL",($D8*$E8)-$F8-$G8))</f>
        <v>-26381.3355</v>
      </c>
    </row>
    <row r="9" spans="1:8" ht="19.5" thickBot="1">
      <c r="A9" s="10"/>
      <c r="B9" s="10"/>
      <c r="C9" s="10"/>
      <c r="D9" s="11"/>
      <c r="E9" s="12"/>
      <c r="F9" s="12"/>
      <c r="G9" s="31" t="s">
        <v>38</v>
      </c>
      <c r="H9" s="31">
        <f>SUM(H7:H8)</f>
        <v>25008.4545</v>
      </c>
    </row>
    <row r="10" spans="1:8" ht="18.75">
      <c r="A10" s="8" t="s">
        <v>40</v>
      </c>
      <c r="B10" s="8" t="s">
        <v>31</v>
      </c>
      <c r="C10" s="8" t="s">
        <v>37</v>
      </c>
      <c r="D10" s="9">
        <v>100</v>
      </c>
      <c r="E10" s="3">
        <v>30</v>
      </c>
      <c r="F10" s="3">
        <f>($D10*$E10)*0.002</f>
        <v>6</v>
      </c>
      <c r="G10" s="3">
        <f>$F10*0.07</f>
        <v>0.42000000000000004</v>
      </c>
      <c r="H10" s="3">
        <f>IF($C10="BUY",(($D10*$E10)+$F10+$G10)*(-1),IF($C10="SELL",($D10*$E10)-$F10-$G10))</f>
        <v>2993.58</v>
      </c>
    </row>
    <row r="11" spans="1:8" ht="19.5" thickBot="1">
      <c r="A11" s="10"/>
      <c r="B11" s="10"/>
      <c r="C11" s="10"/>
      <c r="D11" s="11"/>
      <c r="E11" s="12"/>
      <c r="F11" s="12"/>
      <c r="G11" s="31" t="s">
        <v>38</v>
      </c>
      <c r="H11" s="31">
        <f>H10</f>
        <v>2993.58</v>
      </c>
    </row>
    <row r="12" spans="1:8" ht="18.75">
      <c r="A12" s="8" t="s">
        <v>42</v>
      </c>
      <c r="B12" s="8" t="s">
        <v>31</v>
      </c>
      <c r="C12" s="8" t="s">
        <v>16</v>
      </c>
      <c r="D12" s="9">
        <v>400</v>
      </c>
      <c r="E12" s="3">
        <v>29.5</v>
      </c>
      <c r="F12" s="3">
        <f>($D12*$E12)*0.002</f>
        <v>23.6</v>
      </c>
      <c r="G12" s="3">
        <f>$F12*0.07</f>
        <v>1.6520000000000004</v>
      </c>
      <c r="H12" s="3">
        <f>IF($C12="BUY",(($D12*$E12)+$F12+$G12)*(-1),IF($C12="SELL",($D12*$E12)-$F12-$G12))</f>
        <v>-11825.252</v>
      </c>
    </row>
    <row r="13" spans="1:8" ht="19.5" thickBot="1">
      <c r="A13" s="10"/>
      <c r="B13" s="10"/>
      <c r="C13" s="10"/>
      <c r="D13" s="11"/>
      <c r="E13" s="12"/>
      <c r="F13" s="12"/>
      <c r="G13" s="33" t="s">
        <v>14</v>
      </c>
      <c r="H13" s="33">
        <f>H12</f>
        <v>-11825.252</v>
      </c>
    </row>
    <row r="14" spans="1:8" ht="18.75">
      <c r="A14" s="8" t="s">
        <v>44</v>
      </c>
      <c r="B14" s="8" t="s">
        <v>31</v>
      </c>
      <c r="C14" s="8" t="s">
        <v>16</v>
      </c>
      <c r="D14" s="9">
        <v>500</v>
      </c>
      <c r="E14" s="3">
        <v>29.25</v>
      </c>
      <c r="F14" s="3">
        <f>($D14*$E14)*0.002</f>
        <v>29.25</v>
      </c>
      <c r="G14" s="3">
        <f>$F14*0.07</f>
        <v>2.0475000000000003</v>
      </c>
      <c r="H14" s="3">
        <f>IF($C14="BUY",(($D14*$E14)+$F14+$G14)*(-1),IF($C14="SELL",($D14*$E14)-$F14-$G14))</f>
        <v>-14656.2975</v>
      </c>
    </row>
    <row r="15" spans="1:8" ht="19.5" thickBot="1">
      <c r="A15" s="10"/>
      <c r="B15" s="10"/>
      <c r="C15" s="10"/>
      <c r="D15" s="11"/>
      <c r="E15" s="12"/>
      <c r="F15" s="12"/>
      <c r="G15" s="33" t="s">
        <v>14</v>
      </c>
      <c r="H15" s="33">
        <f>H14</f>
        <v>-14656.2975</v>
      </c>
    </row>
    <row r="16" spans="1:8" ht="18.75">
      <c r="A16" s="8" t="s">
        <v>49</v>
      </c>
      <c r="B16" s="8" t="s">
        <v>31</v>
      </c>
      <c r="C16" s="8" t="s">
        <v>37</v>
      </c>
      <c r="D16" s="9">
        <v>500</v>
      </c>
      <c r="E16" s="3">
        <v>32.75</v>
      </c>
      <c r="F16" s="3">
        <f>($D16*$E16)*0.002</f>
        <v>32.75</v>
      </c>
      <c r="G16" s="3">
        <f>$F16*0.07</f>
        <v>2.2925000000000004</v>
      </c>
      <c r="H16" s="3">
        <f>IF($C16="BUY",(($D16*$E16)+$F16+$G16)*(-1),IF($C16="SELL",($D16*$E16)-$F16-$G16))</f>
        <v>16339.9575</v>
      </c>
    </row>
    <row r="17" spans="2:9" ht="18.75">
      <c r="B17" s="8" t="s">
        <v>31</v>
      </c>
      <c r="C17" s="8" t="s">
        <v>16</v>
      </c>
      <c r="D17" s="9">
        <v>500</v>
      </c>
      <c r="E17" s="3">
        <v>31.5</v>
      </c>
      <c r="F17" s="3">
        <f>($D17*$E17)*0.002</f>
        <v>31.5</v>
      </c>
      <c r="G17" s="3">
        <f>$F17*0.07</f>
        <v>2.205</v>
      </c>
      <c r="H17" s="3">
        <f>IF($C17="BUY",(($D17*$E17)+$F17+$G17)*(-1),IF($C17="SELL",($D17*$E17)-$F17-$G17))</f>
        <v>-15783.705</v>
      </c>
      <c r="I17" s="4"/>
    </row>
    <row r="18" spans="1:8" ht="19.5" thickBot="1">
      <c r="A18" s="10"/>
      <c r="B18" s="10"/>
      <c r="C18" s="10"/>
      <c r="D18" s="11"/>
      <c r="E18" s="12"/>
      <c r="F18" s="12"/>
      <c r="G18" s="38" t="s">
        <v>38</v>
      </c>
      <c r="H18" s="38">
        <f>SUM(H16:H17)</f>
        <v>556.2525000000005</v>
      </c>
    </row>
    <row r="19" spans="1:8" ht="18.75">
      <c r="A19" s="8" t="s">
        <v>54</v>
      </c>
      <c r="B19" s="8" t="s">
        <v>31</v>
      </c>
      <c r="C19" s="8" t="s">
        <v>16</v>
      </c>
      <c r="D19" s="9">
        <v>500</v>
      </c>
      <c r="E19" s="3">
        <v>29.75</v>
      </c>
      <c r="F19" s="3">
        <f>($D19*$E19)*0.002</f>
        <v>29.75</v>
      </c>
      <c r="G19" s="3">
        <f>$F19*0.07</f>
        <v>2.0825</v>
      </c>
      <c r="H19" s="3">
        <f>IF($C19="BUY",(($D19*$E19)+$F19+$G19)*(-1),IF($C19="SELL",($D19*$E19)-$F19-$G19))</f>
        <v>-14906.8325</v>
      </c>
    </row>
    <row r="20" spans="1:8" ht="19.5" thickBot="1">
      <c r="A20" s="10"/>
      <c r="B20" s="10"/>
      <c r="C20" s="39"/>
      <c r="D20" s="11"/>
      <c r="E20" s="12"/>
      <c r="F20" s="12"/>
      <c r="G20" s="33" t="s">
        <v>14</v>
      </c>
      <c r="H20" s="33">
        <f>H19</f>
        <v>-14906.8325</v>
      </c>
    </row>
    <row r="21" spans="1:8" ht="18.75">
      <c r="A21" s="8" t="s">
        <v>56</v>
      </c>
      <c r="B21" s="8" t="s">
        <v>31</v>
      </c>
      <c r="C21" s="8" t="s">
        <v>16</v>
      </c>
      <c r="D21" s="9">
        <v>300</v>
      </c>
      <c r="E21" s="3">
        <v>29.5</v>
      </c>
      <c r="F21" s="3">
        <f>($D21*$E21)*0.002</f>
        <v>17.7</v>
      </c>
      <c r="G21" s="3">
        <f>$F21*0.07</f>
        <v>1.239</v>
      </c>
      <c r="H21" s="3">
        <f>IF($C21="BUY",(($D21*$E21)+$F21+$G21)*(-1),IF($C21="SELL",($D21*$E21)-$F21-$G21))</f>
        <v>-8868.939</v>
      </c>
    </row>
    <row r="22" spans="1:8" ht="19.5" thickBot="1">
      <c r="A22" s="10"/>
      <c r="B22" s="10"/>
      <c r="C22" s="10"/>
      <c r="D22" s="11"/>
      <c r="E22" s="12"/>
      <c r="F22" s="12"/>
      <c r="G22" s="33" t="s">
        <v>14</v>
      </c>
      <c r="H22" s="33">
        <f>H21</f>
        <v>-8868.939</v>
      </c>
    </row>
    <row r="23" spans="1:8" ht="18.75">
      <c r="A23" s="8" t="s">
        <v>58</v>
      </c>
      <c r="B23" s="8" t="s">
        <v>30</v>
      </c>
      <c r="C23" s="8" t="s">
        <v>37</v>
      </c>
      <c r="D23" s="9">
        <v>400</v>
      </c>
      <c r="E23" s="3">
        <v>27.5</v>
      </c>
      <c r="F23" s="3">
        <f>($D23*$E23)*0.002</f>
        <v>22</v>
      </c>
      <c r="G23" s="3">
        <f>$F23*0.07</f>
        <v>1.54</v>
      </c>
      <c r="H23" s="3">
        <f>IF($C23="BUY",(($D23*$E23)+$F23+$G23)*(-1),IF($C23="SELL",($D23*$E23)-$F23-$G23))</f>
        <v>10976.46</v>
      </c>
    </row>
    <row r="24" spans="2:8" ht="18.75">
      <c r="B24" s="8" t="s">
        <v>31</v>
      </c>
      <c r="C24" s="8" t="s">
        <v>16</v>
      </c>
      <c r="D24" s="9">
        <v>400</v>
      </c>
      <c r="E24" s="3">
        <v>28.75</v>
      </c>
      <c r="F24" s="3">
        <f>($D24*$E24)*0.002</f>
        <v>23</v>
      </c>
      <c r="G24" s="3">
        <f>$F24*0.07</f>
        <v>1.61</v>
      </c>
      <c r="H24" s="3">
        <f>IF($C24="BUY",(($D24*$E24)+$F24+$G24)*(-1),IF($C24="SELL",($D24*$E24)-$F24-$G24))</f>
        <v>-11524.61</v>
      </c>
    </row>
    <row r="25" spans="1:8" ht="19.5" thickBot="1">
      <c r="A25" s="10"/>
      <c r="B25" s="10"/>
      <c r="C25" s="10"/>
      <c r="D25" s="11"/>
      <c r="E25" s="12"/>
      <c r="F25" s="12"/>
      <c r="G25" s="33" t="s">
        <v>14</v>
      </c>
      <c r="H25" s="33">
        <f>SUM(H23:H24)</f>
        <v>-548.1500000000015</v>
      </c>
    </row>
    <row r="26" spans="1:8" ht="18.75">
      <c r="A26" s="8" t="s">
        <v>62</v>
      </c>
      <c r="B26" s="8" t="s">
        <v>30</v>
      </c>
      <c r="C26" s="8" t="s">
        <v>37</v>
      </c>
      <c r="D26" s="9">
        <v>400</v>
      </c>
      <c r="E26" s="3">
        <v>24.5</v>
      </c>
      <c r="F26" s="3">
        <f>($D26*$E26)*0.002</f>
        <v>19.6</v>
      </c>
      <c r="G26" s="3">
        <f>$F26*0.07</f>
        <v>1.3720000000000003</v>
      </c>
      <c r="H26" s="3">
        <f>IF($C26="BUY",(($D26*$E26)+$F26+$G26)*(-1),IF($C26="SELL",($D26*$E26)-$F26-$G26))</f>
        <v>9779.028</v>
      </c>
    </row>
    <row r="27" spans="2:8" ht="18.75">
      <c r="B27" s="8" t="s">
        <v>31</v>
      </c>
      <c r="C27" s="8" t="s">
        <v>37</v>
      </c>
      <c r="D27" s="9">
        <v>700</v>
      </c>
      <c r="E27" s="3">
        <v>28.5</v>
      </c>
      <c r="F27" s="3">
        <f>($D27*$E27)*0.002</f>
        <v>39.9</v>
      </c>
      <c r="G27" s="3">
        <f>$F27*0.07</f>
        <v>2.793</v>
      </c>
      <c r="H27" s="3">
        <f>IF($C27="BUY",(($D27*$E27)+$F27+$G27)*(-1),IF($C27="SELL",($D27*$E27)-$F27-$G27))</f>
        <v>19907.306999999997</v>
      </c>
    </row>
    <row r="28" spans="1:8" ht="19.5" thickBot="1">
      <c r="A28" s="10"/>
      <c r="B28" s="10"/>
      <c r="C28" s="10"/>
      <c r="D28" s="11"/>
      <c r="E28" s="12"/>
      <c r="F28" s="12"/>
      <c r="G28" s="38" t="s">
        <v>38</v>
      </c>
      <c r="H28" s="38">
        <f>SUM(H26:H27)</f>
        <v>29686.335</v>
      </c>
    </row>
    <row r="29" spans="1:8" ht="18.75">
      <c r="A29" s="8" t="s">
        <v>64</v>
      </c>
      <c r="B29" s="8" t="s">
        <v>31</v>
      </c>
      <c r="C29" s="8" t="s">
        <v>37</v>
      </c>
      <c r="D29" s="9">
        <v>1500</v>
      </c>
      <c r="E29" s="3">
        <v>29.5</v>
      </c>
      <c r="F29" s="3">
        <f>($D29*$E29)*0.002</f>
        <v>88.5</v>
      </c>
      <c r="G29" s="3">
        <f>$F29*0.07</f>
        <v>6.195</v>
      </c>
      <c r="H29" s="3">
        <f>IF($C29="BUY",(($D29*$E29)+$F29+$G29)*(-1),IF($C29="SELL",($D29*$E29)-$F29-$G29))</f>
        <v>44155.305</v>
      </c>
    </row>
    <row r="30" spans="1:8" ht="19.5" thickBot="1">
      <c r="A30" s="10"/>
      <c r="B30" s="10"/>
      <c r="C30" s="10"/>
      <c r="D30" s="11"/>
      <c r="E30" s="12"/>
      <c r="F30" s="12"/>
      <c r="G30" s="38" t="s">
        <v>38</v>
      </c>
      <c r="H30" s="38">
        <f>H29</f>
        <v>44155.305</v>
      </c>
    </row>
    <row r="31" spans="1:8" ht="18.75">
      <c r="A31" s="8" t="s">
        <v>67</v>
      </c>
      <c r="B31" s="8" t="s">
        <v>31</v>
      </c>
      <c r="C31" s="8" t="s">
        <v>16</v>
      </c>
      <c r="D31" s="9">
        <v>1000</v>
      </c>
      <c r="E31" s="3">
        <v>28.75</v>
      </c>
      <c r="F31" s="3">
        <f>($D31*$E31)*0.002</f>
        <v>57.5</v>
      </c>
      <c r="G31" s="3">
        <f>$F31*0.07</f>
        <v>4.025</v>
      </c>
      <c r="H31" s="3">
        <f>IF($C31="BUY",(($D31*$E31)+$F31+$G31)*(-1),IF($C31="SELL",($D31*$E31)-$F31-$G31))</f>
        <v>-28811.525</v>
      </c>
    </row>
    <row r="32" spans="2:8" ht="18.75">
      <c r="B32" s="8" t="s">
        <v>31</v>
      </c>
      <c r="C32" s="8" t="s">
        <v>16</v>
      </c>
      <c r="D32" s="9">
        <v>100</v>
      </c>
      <c r="E32" s="3">
        <v>28.25</v>
      </c>
      <c r="F32" s="3">
        <f>($D32*$E32)*0.002</f>
        <v>5.65</v>
      </c>
      <c r="G32" s="3">
        <f>$F32*0.07</f>
        <v>0.3955000000000001</v>
      </c>
      <c r="H32" s="3">
        <f>IF($C32="BUY",(($D32*$E32)+$F32+$G32)*(-1),IF($C32="SELL",($D32*$E32)-$F32-$G32))</f>
        <v>-2831.0455</v>
      </c>
    </row>
    <row r="33" spans="1:8" ht="19.5" thickBot="1">
      <c r="A33" s="10"/>
      <c r="B33" s="10"/>
      <c r="C33" s="10"/>
      <c r="D33" s="11"/>
      <c r="E33" s="12"/>
      <c r="F33" s="12"/>
      <c r="G33" s="33" t="s">
        <v>14</v>
      </c>
      <c r="H33" s="33">
        <f>SUM(H31:H32)</f>
        <v>-31642.5705</v>
      </c>
    </row>
    <row r="34" spans="1:8" ht="18.75">
      <c r="A34" s="8" t="s">
        <v>68</v>
      </c>
      <c r="B34" s="8" t="s">
        <v>31</v>
      </c>
      <c r="C34" s="8" t="s">
        <v>37</v>
      </c>
      <c r="D34" s="9">
        <v>1500</v>
      </c>
      <c r="E34" s="3">
        <v>29.25</v>
      </c>
      <c r="F34" s="3">
        <f>($D34*$E34)*0.002</f>
        <v>87.75</v>
      </c>
      <c r="G34" s="3">
        <f>$F34*0.07</f>
        <v>6.142500000000001</v>
      </c>
      <c r="H34" s="3">
        <f>IF($C34="BUY",(($D34*$E34)+$F34+$G34)*(-1),IF($C34="SELL",($D34*$E34)-$F34-$G34))</f>
        <v>43781.1075</v>
      </c>
    </row>
    <row r="35" spans="1:8" ht="19.5" thickBot="1">
      <c r="A35" s="10"/>
      <c r="B35" s="10"/>
      <c r="C35" s="10"/>
      <c r="D35" s="11"/>
      <c r="E35" s="12"/>
      <c r="F35" s="12"/>
      <c r="G35" s="38" t="s">
        <v>38</v>
      </c>
      <c r="H35" s="38">
        <f>H34</f>
        <v>43781.1075</v>
      </c>
    </row>
    <row r="36" spans="1:8" ht="18.75">
      <c r="A36" s="8" t="s">
        <v>69</v>
      </c>
      <c r="B36" s="8" t="s">
        <v>32</v>
      </c>
      <c r="C36" s="8" t="s">
        <v>16</v>
      </c>
      <c r="D36" s="9">
        <v>500</v>
      </c>
      <c r="E36" s="3">
        <v>38.5</v>
      </c>
      <c r="F36" s="3">
        <f>($D36*$E36)*0.002</f>
        <v>38.5</v>
      </c>
      <c r="G36" s="3">
        <f>$F36*0.07</f>
        <v>2.6950000000000003</v>
      </c>
      <c r="H36" s="3">
        <f>IF($C36="BUY",(($D36*$E36)+$F36+$G36)*(-1),IF($C36="SELL",($D36*$E36)-$F36-$G36))</f>
        <v>-19291.195</v>
      </c>
    </row>
    <row r="37" spans="2:10" ht="18.75">
      <c r="B37" s="8" t="s">
        <v>31</v>
      </c>
      <c r="C37" s="8" t="s">
        <v>37</v>
      </c>
      <c r="D37" s="9">
        <v>400</v>
      </c>
      <c r="E37" s="3">
        <v>31.25</v>
      </c>
      <c r="F37" s="3">
        <f>($D37*$E37)*0.002</f>
        <v>25</v>
      </c>
      <c r="G37" s="3">
        <f>$F37*0.07</f>
        <v>1.7500000000000002</v>
      </c>
      <c r="H37" s="3">
        <f>IF($C37="BUY",(($D37*$E37)+$F37+$G37)*(-1),IF($C37="SELL",($D37*$E37)-$F37-$G37))</f>
        <v>12473.25</v>
      </c>
      <c r="J37" s="29">
        <f>SUM(H5,H8,H10,H12,H14,H16:H17,H19,H21,H24,H27,H29,H31:H32,H34,H37)</f>
        <v>1129.7054999999891</v>
      </c>
    </row>
    <row r="38" spans="1:8" ht="19.5" thickBot="1">
      <c r="A38" s="10"/>
      <c r="B38" s="10"/>
      <c r="C38" s="10"/>
      <c r="D38" s="11"/>
      <c r="E38" s="12"/>
      <c r="F38" s="12"/>
      <c r="G38" s="33" t="s">
        <v>14</v>
      </c>
      <c r="H38" s="33">
        <f>SUM(H36:H37)</f>
        <v>-6817.945</v>
      </c>
    </row>
    <row r="39" spans="1:8" ht="18.75">
      <c r="A39" s="8" t="s">
        <v>74</v>
      </c>
      <c r="B39" s="8" t="s">
        <v>32</v>
      </c>
      <c r="C39" s="8" t="s">
        <v>16</v>
      </c>
      <c r="D39" s="9">
        <v>300</v>
      </c>
      <c r="E39" s="3">
        <v>38.25</v>
      </c>
      <c r="F39" s="3">
        <f>($D39*$E39)*0.002</f>
        <v>22.95</v>
      </c>
      <c r="G39" s="3">
        <f>$F39*0.07</f>
        <v>1.6065</v>
      </c>
      <c r="H39" s="3">
        <f>IF($C39="BUY",(($D39*$E39)+$F39+$G39)*(-1),IF($C39="SELL",($D39*$E39)-$F39-$G39))</f>
        <v>-11499.5565</v>
      </c>
    </row>
    <row r="40" spans="1:8" ht="19.5" thickBot="1">
      <c r="A40" s="10"/>
      <c r="B40" s="10"/>
      <c r="C40" s="10"/>
      <c r="D40" s="11"/>
      <c r="E40" s="12"/>
      <c r="F40" s="12"/>
      <c r="G40" s="33" t="s">
        <v>14</v>
      </c>
      <c r="H40" s="33">
        <f>H39</f>
        <v>-11499.5565</v>
      </c>
    </row>
    <row r="41" spans="1:10" ht="18.75">
      <c r="A41" s="8" t="s">
        <v>77</v>
      </c>
      <c r="B41" s="8" t="s">
        <v>32</v>
      </c>
      <c r="C41" s="8" t="s">
        <v>37</v>
      </c>
      <c r="D41" s="9">
        <v>500</v>
      </c>
      <c r="E41" s="3">
        <v>39.5</v>
      </c>
      <c r="F41" s="3">
        <f>($D41*$E41)*0.002</f>
        <v>39.5</v>
      </c>
      <c r="G41" s="3">
        <f>$F41*0.07</f>
        <v>2.765</v>
      </c>
      <c r="H41" s="3">
        <f>IF($C41="BUY",(($D41*$E41)+$F41+$G41)*(-1),IF($C41="SELL",($D41*$E41)-$F41-$G41))</f>
        <v>19707.735</v>
      </c>
      <c r="J41" s="4"/>
    </row>
    <row r="42" spans="2:8" ht="18.75">
      <c r="B42" s="8" t="s">
        <v>32</v>
      </c>
      <c r="C42" s="8" t="s">
        <v>16</v>
      </c>
      <c r="D42" s="9">
        <v>500</v>
      </c>
      <c r="E42" s="3">
        <v>39.5</v>
      </c>
      <c r="F42" s="3">
        <f>($D42*$E42)*0.002</f>
        <v>39.5</v>
      </c>
      <c r="G42" s="3">
        <f>$F42*0.07</f>
        <v>2.765</v>
      </c>
      <c r="H42" s="3">
        <f>IF($C42="BUY",(($D42*$E42)+$F42+$G42)*(-1),IF($C42="SELL",($D42*$E42)-$F42-$G42))</f>
        <v>-19792.265</v>
      </c>
    </row>
    <row r="43" spans="1:8" ht="19.5" thickBot="1">
      <c r="A43" s="10"/>
      <c r="B43" s="10"/>
      <c r="C43" s="10"/>
      <c r="D43" s="11"/>
      <c r="E43" s="12"/>
      <c r="F43" s="12"/>
      <c r="G43" s="33" t="s">
        <v>14</v>
      </c>
      <c r="H43" s="33">
        <f>SUM(H41:H42)</f>
        <v>-84.52999999999884</v>
      </c>
    </row>
    <row r="44" spans="1:8" ht="18.75">
      <c r="A44" s="8" t="s">
        <v>85</v>
      </c>
      <c r="B44" s="8" t="s">
        <v>32</v>
      </c>
      <c r="C44" s="8" t="s">
        <v>37</v>
      </c>
      <c r="D44" s="9">
        <v>500</v>
      </c>
      <c r="E44" s="3">
        <v>38.5</v>
      </c>
      <c r="F44" s="3">
        <f>($D44*$E44)*0.002</f>
        <v>38.5</v>
      </c>
      <c r="G44" s="3">
        <f>$F44*0.07</f>
        <v>2.6950000000000003</v>
      </c>
      <c r="H44" s="3">
        <f>IF($C44="BUY",(($D44*$E44)+$F44+$G44)*(-1),IF($C44="SELL",($D44*$E44)-$F44-$G44))</f>
        <v>19208.805</v>
      </c>
    </row>
    <row r="45" spans="1:8" ht="19.5" thickBot="1">
      <c r="A45" s="10"/>
      <c r="B45" s="10"/>
      <c r="C45" s="10"/>
      <c r="D45" s="11"/>
      <c r="E45" s="12"/>
      <c r="F45" s="12"/>
      <c r="G45" s="38" t="s">
        <v>38</v>
      </c>
      <c r="H45" s="38">
        <f>H44</f>
        <v>19208.805</v>
      </c>
    </row>
    <row r="46" spans="1:8" ht="18.75">
      <c r="A46" s="8" t="s">
        <v>91</v>
      </c>
      <c r="B46" s="8" t="s">
        <v>30</v>
      </c>
      <c r="C46" s="8" t="s">
        <v>37</v>
      </c>
      <c r="D46" s="9">
        <v>600</v>
      </c>
      <c r="E46" s="3">
        <v>23.5</v>
      </c>
      <c r="F46" s="3">
        <f>($D46*$E46)*0.002</f>
        <v>28.2</v>
      </c>
      <c r="G46" s="3">
        <f>$F46*0.07</f>
        <v>1.9740000000000002</v>
      </c>
      <c r="H46" s="3">
        <f>IF($C46="BUY",(($D46*$E46)+$F46+$G46)*(-1),IF($C46="SELL",($D46*$E46)-$F46-$G46))</f>
        <v>14069.826</v>
      </c>
    </row>
    <row r="47" spans="2:8" ht="18.75">
      <c r="B47" s="8" t="s">
        <v>92</v>
      </c>
      <c r="C47" s="8" t="s">
        <v>16</v>
      </c>
      <c r="D47" s="9">
        <v>500</v>
      </c>
      <c r="E47" s="3">
        <v>23.7</v>
      </c>
      <c r="F47" s="3">
        <f>($D47*$E47)*0.002</f>
        <v>23.7</v>
      </c>
      <c r="G47" s="3">
        <f>$F47*0.07</f>
        <v>1.659</v>
      </c>
      <c r="H47" s="3">
        <f>IF($C47="BUY",(($D47*$E47)+$F47+$G47)*(-1),IF($C47="SELL",($D47*$E47)-$F47-$G47))</f>
        <v>-11875.359</v>
      </c>
    </row>
    <row r="48" spans="2:8" ht="18.75">
      <c r="B48" s="8" t="s">
        <v>92</v>
      </c>
      <c r="C48" s="8" t="s">
        <v>16</v>
      </c>
      <c r="D48" s="9">
        <v>300</v>
      </c>
      <c r="E48" s="3">
        <v>23.3</v>
      </c>
      <c r="F48" s="3">
        <f>($D48*$E48)*0.002</f>
        <v>13.98</v>
      </c>
      <c r="G48" s="3">
        <f>$F48*0.07</f>
        <v>0.9786000000000001</v>
      </c>
      <c r="H48" s="3">
        <f>IF($C48="BUY",(($D48*$E48)+$F48+$G48)*(-1),IF($C48="SELL",($D48*$E48)-$F48-$G48))</f>
        <v>-7004.9586</v>
      </c>
    </row>
    <row r="49" spans="2:8" ht="18.75">
      <c r="B49" s="8" t="s">
        <v>92</v>
      </c>
      <c r="C49" s="8" t="s">
        <v>16</v>
      </c>
      <c r="D49" s="9">
        <v>300</v>
      </c>
      <c r="E49" s="3">
        <v>23.2</v>
      </c>
      <c r="F49" s="3">
        <f>($D49*$E49)*0.002</f>
        <v>13.92</v>
      </c>
      <c r="G49" s="3">
        <f>$F49*0.07</f>
        <v>0.9744</v>
      </c>
      <c r="H49" s="3">
        <f>IF($C49="BUY",(($D49*$E49)+$F49+$G49)*(-1),IF($C49="SELL",($D49*$E49)-$F49-$G49))</f>
        <v>-6974.8944</v>
      </c>
    </row>
    <row r="50" spans="1:8" ht="19.5" thickBot="1">
      <c r="A50" s="10"/>
      <c r="B50" s="10"/>
      <c r="C50" s="10"/>
      <c r="D50" s="11"/>
      <c r="E50" s="12"/>
      <c r="F50" s="12"/>
      <c r="G50" s="33" t="s">
        <v>14</v>
      </c>
      <c r="H50" s="33">
        <f>SUM(H46:H49)</f>
        <v>-11785.386000000002</v>
      </c>
    </row>
    <row r="51" spans="1:8" ht="18.75">
      <c r="A51" s="8" t="s">
        <v>93</v>
      </c>
      <c r="B51" s="8" t="s">
        <v>92</v>
      </c>
      <c r="C51" s="8" t="s">
        <v>37</v>
      </c>
      <c r="D51" s="9">
        <v>300</v>
      </c>
      <c r="E51" s="3">
        <v>24</v>
      </c>
      <c r="F51" s="3">
        <f>($D51*$E51)*0.002</f>
        <v>14.4</v>
      </c>
      <c r="G51" s="3">
        <f>$F51*0.07</f>
        <v>1.0080000000000002</v>
      </c>
      <c r="H51" s="3">
        <f>IF($C51="BUY",(($D51*$E51)+$F51+$G51)*(-1),IF($C51="SELL",($D51*$E51)-$F51-$G51))</f>
        <v>7184.592000000001</v>
      </c>
    </row>
    <row r="52" spans="2:10" ht="18.75">
      <c r="B52" s="8" t="s">
        <v>92</v>
      </c>
      <c r="C52" s="8" t="s">
        <v>37</v>
      </c>
      <c r="D52" s="9">
        <v>800</v>
      </c>
      <c r="E52" s="3">
        <v>23.9</v>
      </c>
      <c r="F52" s="3">
        <f>($D52*$E52)*0.002</f>
        <v>38.24</v>
      </c>
      <c r="G52" s="3">
        <f>$F52*0.07</f>
        <v>2.6768000000000005</v>
      </c>
      <c r="H52" s="3">
        <f>IF($C52="BUY",(($D52*$E52)+$F52+$G52)*(-1),IF($C52="SELL",($D52*$E52)-$F52-$G52))</f>
        <v>19079.083199999997</v>
      </c>
      <c r="J52" s="29">
        <f>SUM(H47:H49,H51:H52)</f>
        <v>408.4631999999947</v>
      </c>
    </row>
    <row r="53" spans="2:8" ht="18.75">
      <c r="B53" s="8" t="s">
        <v>94</v>
      </c>
      <c r="C53" s="8" t="s">
        <v>16</v>
      </c>
      <c r="D53" s="9">
        <v>4000</v>
      </c>
      <c r="E53" s="3">
        <v>7.75</v>
      </c>
      <c r="F53" s="3">
        <f>($D53*$E53)*0.002</f>
        <v>62</v>
      </c>
      <c r="G53" s="3">
        <f>$F53*0.07</f>
        <v>4.340000000000001</v>
      </c>
      <c r="H53" s="3">
        <f>IF($C53="BUY",(($D53*$E53)+$F53+$G53)*(-1),IF($C53="SELL",($D53*$E53)-$F53-$G53))</f>
        <v>-31066.34</v>
      </c>
    </row>
    <row r="54" spans="1:8" ht="19.5" thickBot="1">
      <c r="A54" s="10"/>
      <c r="B54" s="10"/>
      <c r="C54" s="10"/>
      <c r="D54" s="11"/>
      <c r="E54" s="12"/>
      <c r="F54" s="12"/>
      <c r="G54" s="33" t="s">
        <v>14</v>
      </c>
      <c r="H54" s="33">
        <f>SUM(H51:H53)</f>
        <v>-4802.664800000002</v>
      </c>
    </row>
    <row r="55" spans="1:8" ht="18.75">
      <c r="A55" s="8" t="s">
        <v>96</v>
      </c>
      <c r="B55" s="8" t="s">
        <v>32</v>
      </c>
      <c r="C55" s="8" t="s">
        <v>37</v>
      </c>
      <c r="D55" s="9">
        <v>1000</v>
      </c>
      <c r="E55" s="3">
        <v>37.25</v>
      </c>
      <c r="F55" s="3">
        <f>($D55*$E55)*0.002</f>
        <v>74.5</v>
      </c>
      <c r="G55" s="3">
        <f>$F55*0.07</f>
        <v>5.215000000000001</v>
      </c>
      <c r="H55" s="3">
        <f>IF($C55="BUY",(($D55*$E55)+$F55+$G55)*(-1),IF($C55="SELL",($D55*$E55)-$F55-$G55))</f>
        <v>37170.285</v>
      </c>
    </row>
    <row r="56" spans="1:8" ht="19.5" thickBot="1">
      <c r="A56" s="10"/>
      <c r="B56" s="10"/>
      <c r="C56" s="10"/>
      <c r="D56" s="11"/>
      <c r="E56" s="12"/>
      <c r="F56" s="12"/>
      <c r="G56" s="38" t="s">
        <v>38</v>
      </c>
      <c r="H56" s="38">
        <f>H55</f>
        <v>37170.285</v>
      </c>
    </row>
    <row r="57" spans="1:8" ht="18.75">
      <c r="A57" s="8" t="s">
        <v>98</v>
      </c>
      <c r="B57" s="8" t="s">
        <v>94</v>
      </c>
      <c r="C57" s="8" t="s">
        <v>37</v>
      </c>
      <c r="D57" s="9">
        <v>2000</v>
      </c>
      <c r="E57" s="3">
        <v>8</v>
      </c>
      <c r="F57" s="3">
        <f>($D57*$E57)*0.002</f>
        <v>32</v>
      </c>
      <c r="G57" s="3">
        <f>$F57*0.07</f>
        <v>2.24</v>
      </c>
      <c r="H57" s="3">
        <f>IF($C57="BUY",(($D57*$E57)+$F57+$G57)*(-1),IF($C57="SELL",($D57*$E57)-$F57-$G57))</f>
        <v>15965.76</v>
      </c>
    </row>
    <row r="58" spans="1:8" ht="19.5" thickBot="1">
      <c r="A58" s="10"/>
      <c r="B58" s="10"/>
      <c r="C58" s="10"/>
      <c r="D58" s="11"/>
      <c r="E58" s="12"/>
      <c r="F58" s="12"/>
      <c r="G58" s="38" t="s">
        <v>38</v>
      </c>
      <c r="H58" s="38">
        <f>H57</f>
        <v>15965.76</v>
      </c>
    </row>
    <row r="59" spans="1:8" ht="18.75">
      <c r="A59" s="8" t="s">
        <v>100</v>
      </c>
      <c r="B59" s="8" t="s">
        <v>13</v>
      </c>
      <c r="C59" s="8" t="s">
        <v>16</v>
      </c>
      <c r="D59" s="9">
        <v>300</v>
      </c>
      <c r="E59" s="3">
        <v>79</v>
      </c>
      <c r="F59" s="3">
        <f>($D59*$E59)*0.002</f>
        <v>47.4</v>
      </c>
      <c r="G59" s="3">
        <f>$F59*0.07</f>
        <v>3.318</v>
      </c>
      <c r="H59" s="3">
        <f>IF($C59="BUY",(($D59*$E59)+$F59+$G59)*(-1),IF($C59="SELL",($D59*$E59)-$F59-$G59))</f>
        <v>-23750.718</v>
      </c>
    </row>
    <row r="60" spans="2:8" ht="18.75">
      <c r="B60" s="8" t="s">
        <v>13</v>
      </c>
      <c r="C60" s="8" t="s">
        <v>37</v>
      </c>
      <c r="D60" s="9">
        <v>300</v>
      </c>
      <c r="E60" s="3">
        <v>70.5</v>
      </c>
      <c r="F60" s="3">
        <f>($D60*$E60)*0.002</f>
        <v>42.300000000000004</v>
      </c>
      <c r="G60" s="3">
        <f>$F60*0.07</f>
        <v>2.9610000000000007</v>
      </c>
      <c r="H60" s="3">
        <f>IF($C60="BUY",(($D60*$E60)+$F60+$G60)*(-1),IF($C60="SELL",($D60*$E60)-$F60-$G60))</f>
        <v>21104.739</v>
      </c>
    </row>
    <row r="61" spans="1:9" ht="19.5" thickBot="1">
      <c r="A61" s="10"/>
      <c r="B61" s="10"/>
      <c r="C61" s="10"/>
      <c r="D61" s="11"/>
      <c r="E61" s="12"/>
      <c r="F61" s="12"/>
      <c r="G61" s="44" t="s">
        <v>14</v>
      </c>
      <c r="H61" s="44">
        <f>SUM(H59:H60)</f>
        <v>-2645.9789999999994</v>
      </c>
      <c r="I61" s="4"/>
    </row>
    <row r="62" spans="1:8" ht="18.75">
      <c r="A62" s="8" t="s">
        <v>102</v>
      </c>
      <c r="B62" s="8" t="s">
        <v>103</v>
      </c>
      <c r="C62" s="8" t="s">
        <v>16</v>
      </c>
      <c r="D62" s="9">
        <v>5000</v>
      </c>
      <c r="E62" s="3">
        <v>4.24</v>
      </c>
      <c r="F62" s="3">
        <f>($D62*$E62)*0.002</f>
        <v>42.4</v>
      </c>
      <c r="G62" s="3">
        <f>$F62*0.07</f>
        <v>2.968</v>
      </c>
      <c r="H62" s="3">
        <f>IF($C62="BUY",(($D62*$E62)+$F62+$G62)*(-1),IF($C62="SELL",($D62*$E62)-$F62-$G62))</f>
        <v>-21245.368000000002</v>
      </c>
    </row>
    <row r="63" spans="2:8" ht="18.75">
      <c r="B63" s="8" t="s">
        <v>103</v>
      </c>
      <c r="C63" s="8" t="s">
        <v>37</v>
      </c>
      <c r="D63" s="9">
        <v>4500</v>
      </c>
      <c r="E63" s="3">
        <v>4.32</v>
      </c>
      <c r="F63" s="3">
        <f>($D63*$E63)*0.002</f>
        <v>38.88</v>
      </c>
      <c r="G63" s="3">
        <f>$F63*0.07</f>
        <v>2.7216000000000005</v>
      </c>
      <c r="H63" s="3">
        <f>IF($C63="BUY",(($D63*$E63)+$F63+$G63)*(-1),IF($C63="SELL",($D63*$E63)-$F63-$G63))</f>
        <v>19398.3984</v>
      </c>
    </row>
    <row r="64" spans="2:8" ht="18.75">
      <c r="B64" s="8" t="s">
        <v>103</v>
      </c>
      <c r="C64" s="8" t="s">
        <v>16</v>
      </c>
      <c r="D64" s="9">
        <v>5000</v>
      </c>
      <c r="E64" s="3">
        <v>4.2</v>
      </c>
      <c r="F64" s="3">
        <f>($D64*$E64)*0.002</f>
        <v>42</v>
      </c>
      <c r="G64" s="3">
        <f>$F64*0.07</f>
        <v>2.9400000000000004</v>
      </c>
      <c r="H64" s="3">
        <f>IF($C64="BUY",(($D64*$E64)+$F64+$G64)*(-1),IF($C64="SELL",($D64*$E64)-$F64-$G64))</f>
        <v>-21044.94</v>
      </c>
    </row>
    <row r="65" spans="2:8" ht="18.75">
      <c r="B65" s="8" t="s">
        <v>103</v>
      </c>
      <c r="C65" s="8" t="s">
        <v>16</v>
      </c>
      <c r="D65" s="9">
        <v>5000</v>
      </c>
      <c r="E65" s="3">
        <v>4.18</v>
      </c>
      <c r="F65" s="3">
        <f>($D65*$E65)*0.002</f>
        <v>41.800000000000004</v>
      </c>
      <c r="G65" s="3">
        <f>$F65*0.07</f>
        <v>2.9260000000000006</v>
      </c>
      <c r="H65" s="3">
        <f>IF($C65="BUY",(($D65*$E65)+$F65+$G65)*(-1),IF($C65="SELL",($D65*$E65)-$F65-$G65))</f>
        <v>-20944.726</v>
      </c>
    </row>
    <row r="66" spans="2:8" ht="18.75">
      <c r="B66" s="8" t="s">
        <v>104</v>
      </c>
      <c r="C66" s="8" t="s">
        <v>16</v>
      </c>
      <c r="D66" s="9">
        <v>300</v>
      </c>
      <c r="E66" s="3">
        <v>108</v>
      </c>
      <c r="F66" s="3">
        <f>($D66*$E66)*0.002</f>
        <v>64.8</v>
      </c>
      <c r="G66" s="3">
        <f>$F66*0.07</f>
        <v>4.5360000000000005</v>
      </c>
      <c r="H66" s="3">
        <f>IF($C66="BUY",(($D66*$E66)+$F66+$G66)*(-1),IF($C66="SELL",($D66*$E66)-$F66-$G66))</f>
        <v>-32469.336</v>
      </c>
    </row>
    <row r="67" spans="1:8" ht="19.5" thickBot="1">
      <c r="A67" s="10"/>
      <c r="B67" s="10"/>
      <c r="C67" s="10"/>
      <c r="D67" s="11"/>
      <c r="E67" s="12"/>
      <c r="F67" s="12"/>
      <c r="G67" s="33" t="s">
        <v>14</v>
      </c>
      <c r="H67" s="33">
        <f>SUM(H62:H66)</f>
        <v>-76305.9716</v>
      </c>
    </row>
    <row r="68" spans="1:10" ht="18.75">
      <c r="A68" s="8" t="s">
        <v>106</v>
      </c>
      <c r="B68" s="8" t="s">
        <v>104</v>
      </c>
      <c r="C68" s="8" t="s">
        <v>37</v>
      </c>
      <c r="D68" s="9">
        <v>300</v>
      </c>
      <c r="E68" s="3">
        <v>113</v>
      </c>
      <c r="F68" s="3">
        <f>($D68*$E68)*0.002</f>
        <v>67.8</v>
      </c>
      <c r="G68" s="3">
        <f>$F68*0.07</f>
        <v>4.746</v>
      </c>
      <c r="H68" s="3">
        <f>IF($C68="BUY",(($D68*$E68)+$F68+$G68)*(-1),IF($C68="SELL",($D68*$E68)-$F68-$G68))</f>
        <v>33827.454</v>
      </c>
      <c r="J68" s="4"/>
    </row>
    <row r="69" spans="2:8" ht="18.75">
      <c r="B69" s="8" t="s">
        <v>104</v>
      </c>
      <c r="C69" s="8" t="s">
        <v>16</v>
      </c>
      <c r="D69" s="9">
        <v>300</v>
      </c>
      <c r="E69" s="3">
        <v>110</v>
      </c>
      <c r="F69" s="3">
        <f>($D69*$E69)*0.002</f>
        <v>66</v>
      </c>
      <c r="G69" s="3">
        <f>$F69*0.07</f>
        <v>4.62</v>
      </c>
      <c r="H69" s="3">
        <f>IF($C69="BUY",(($D69*$E69)+$F69+$G69)*(-1),IF($C69="SELL",($D69*$E69)-$F69-$G69))</f>
        <v>-33070.62</v>
      </c>
    </row>
    <row r="70" spans="1:8" ht="19.5" thickBot="1">
      <c r="A70" s="10"/>
      <c r="B70" s="10"/>
      <c r="C70" s="10"/>
      <c r="D70" s="11"/>
      <c r="E70" s="12"/>
      <c r="F70" s="12"/>
      <c r="G70" s="38" t="s">
        <v>38</v>
      </c>
      <c r="H70" s="38">
        <f>SUM(H68:H69)</f>
        <v>756.8339999999953</v>
      </c>
    </row>
    <row r="71" spans="1:10" ht="18.75">
      <c r="A71" s="8" t="s">
        <v>108</v>
      </c>
      <c r="B71" s="8" t="s">
        <v>104</v>
      </c>
      <c r="C71" s="8" t="s">
        <v>37</v>
      </c>
      <c r="D71" s="9">
        <v>300</v>
      </c>
      <c r="E71" s="3">
        <v>112</v>
      </c>
      <c r="F71" s="3">
        <f>($D71*$E71)*0.002</f>
        <v>67.2</v>
      </c>
      <c r="G71" s="3">
        <f>$F71*0.07</f>
        <v>4.704000000000001</v>
      </c>
      <c r="H71" s="3">
        <f>IF($C71="BUY",(($D71*$E71)+$F71+$G71)*(-1),IF($C71="SELL",($D71*$E71)-$F71-$G71))</f>
        <v>33528.096000000005</v>
      </c>
      <c r="J71" s="29">
        <f>SUM(H66,H68:H69,H71)</f>
        <v>1815.594000000001</v>
      </c>
    </row>
    <row r="72" spans="2:10" ht="18.75">
      <c r="B72" s="8" t="s">
        <v>94</v>
      </c>
      <c r="C72" s="8" t="s">
        <v>37</v>
      </c>
      <c r="D72" s="9">
        <v>2000</v>
      </c>
      <c r="E72" s="3">
        <v>7.95</v>
      </c>
      <c r="F72" s="3">
        <f>($D72*$E72)*0.002</f>
        <v>31.8</v>
      </c>
      <c r="G72" s="3">
        <f>$F72*0.07</f>
        <v>2.2260000000000004</v>
      </c>
      <c r="H72" s="3">
        <f>IF($C72="BUY",(($D72*$E72)+$F72+$G72)*(-1),IF($C72="SELL",($D72*$E72)-$F72-$G72))</f>
        <v>15865.974</v>
      </c>
      <c r="J72" s="29">
        <f>SUM(H53,H57,H72)</f>
        <v>765.3940000000002</v>
      </c>
    </row>
    <row r="73" spans="2:8" ht="18.75">
      <c r="B73" s="8" t="s">
        <v>103</v>
      </c>
      <c r="C73" s="8" t="s">
        <v>37</v>
      </c>
      <c r="D73" s="9">
        <v>5500</v>
      </c>
      <c r="E73" s="3">
        <v>4.48</v>
      </c>
      <c r="F73" s="3">
        <f>($D73*$E73)*0.002</f>
        <v>49.28000000000001</v>
      </c>
      <c r="G73" s="3">
        <f>$F73*0.07</f>
        <v>3.449600000000001</v>
      </c>
      <c r="H73" s="3">
        <f>IF($C73="BUY",(($D73*$E73)+$F73+$G73)*(-1),IF($C73="SELL",($D73*$E73)-$F73-$G73))</f>
        <v>24587.270400000005</v>
      </c>
    </row>
    <row r="74" spans="1:8" ht="19.5" thickBot="1">
      <c r="A74" s="10"/>
      <c r="B74" s="10"/>
      <c r="C74" s="10"/>
      <c r="D74" s="11"/>
      <c r="E74" s="12"/>
      <c r="F74" s="12"/>
      <c r="G74" s="38" t="s">
        <v>38</v>
      </c>
      <c r="H74" s="38">
        <f>SUM(H71:H73)</f>
        <v>73981.34040000002</v>
      </c>
    </row>
    <row r="75" spans="1:8" ht="18.75">
      <c r="A75" s="8" t="s">
        <v>110</v>
      </c>
      <c r="B75" s="8" t="s">
        <v>103</v>
      </c>
      <c r="C75" s="8" t="s">
        <v>37</v>
      </c>
      <c r="D75" s="9">
        <v>2000</v>
      </c>
      <c r="E75" s="3">
        <v>5</v>
      </c>
      <c r="F75" s="3">
        <f>($D75*$E75)*0.002</f>
        <v>20</v>
      </c>
      <c r="G75" s="3">
        <f>$F75*0.07</f>
        <v>1.4000000000000001</v>
      </c>
      <c r="H75" s="3">
        <f>IF($C75="BUY",(($D75*$E75)+$F75+$G75)*(-1),IF($C75="SELL",($D75*$E75)-$F75-$G75))</f>
        <v>9978.6</v>
      </c>
    </row>
    <row r="76" spans="2:10" ht="18.75">
      <c r="B76" s="8" t="s">
        <v>103</v>
      </c>
      <c r="C76" s="8" t="s">
        <v>37</v>
      </c>
      <c r="D76" s="9">
        <v>3000</v>
      </c>
      <c r="E76" s="3">
        <v>4.96</v>
      </c>
      <c r="F76" s="3">
        <f>($D76*$E76)*0.002</f>
        <v>29.76</v>
      </c>
      <c r="G76" s="3">
        <f>$F76*0.07</f>
        <v>2.0832</v>
      </c>
      <c r="H76" s="3">
        <f>IF($C76="BUY",(($D76*$E76)+$F76+$G76)*(-1),IF($C76="SELL",($D76*$E76)-$F76-$G76))</f>
        <v>14848.1568</v>
      </c>
      <c r="J76" s="29">
        <f>SUM(H62:H65,H73,H75:H76)</f>
        <v>5577.3916000000045</v>
      </c>
    </row>
    <row r="77" spans="1:8" ht="19.5" thickBot="1">
      <c r="A77" s="10"/>
      <c r="B77" s="10"/>
      <c r="C77" s="10"/>
      <c r="D77" s="11"/>
      <c r="E77" s="12"/>
      <c r="F77" s="12"/>
      <c r="G77" s="38" t="s">
        <v>38</v>
      </c>
      <c r="H77" s="38">
        <f>SUM(H75:H76)</f>
        <v>24826.756800000003</v>
      </c>
    </row>
    <row r="78" spans="1:8" ht="18.75">
      <c r="A78" s="8" t="s">
        <v>113</v>
      </c>
      <c r="B78" s="8" t="s">
        <v>32</v>
      </c>
      <c r="C78" s="8" t="s">
        <v>16</v>
      </c>
      <c r="D78" s="9">
        <v>200</v>
      </c>
      <c r="E78" s="3">
        <v>37</v>
      </c>
      <c r="F78" s="3">
        <f>($D78*$E78)*0.002</f>
        <v>14.8</v>
      </c>
      <c r="G78" s="3">
        <f>$F78*0.07</f>
        <v>1.0360000000000003</v>
      </c>
      <c r="H78" s="3">
        <f>IF($C78="BUY",(($D78*$E78)+$F78+$G78)*(-1),IF($C78="SELL",($D78*$E78)-$F78-$G78))</f>
        <v>-7415.836</v>
      </c>
    </row>
    <row r="79" spans="1:8" ht="19.5" thickBot="1">
      <c r="A79" s="10"/>
      <c r="B79" s="10"/>
      <c r="C79" s="10"/>
      <c r="D79" s="11"/>
      <c r="E79" s="12"/>
      <c r="F79" s="12"/>
      <c r="G79" s="33" t="s">
        <v>14</v>
      </c>
      <c r="H79" s="33">
        <f>H78</f>
        <v>-7415.836</v>
      </c>
    </row>
    <row r="80" spans="1:10" ht="18.75">
      <c r="A80" s="8" t="s">
        <v>116</v>
      </c>
      <c r="B80" s="8" t="s">
        <v>32</v>
      </c>
      <c r="C80" s="8" t="s">
        <v>37</v>
      </c>
      <c r="D80" s="9">
        <v>500</v>
      </c>
      <c r="E80" s="3">
        <v>39.5</v>
      </c>
      <c r="F80" s="3">
        <f aca="true" t="shared" si="0" ref="F80:F118">($D80*$E80)*0.002</f>
        <v>39.5</v>
      </c>
      <c r="G80" s="3">
        <f aca="true" t="shared" si="1" ref="G80:G148">$F80*0.07</f>
        <v>2.765</v>
      </c>
      <c r="H80" s="3">
        <f aca="true" t="shared" si="2" ref="H80:H90">IF($C80="BUY",(($D80*$E80)+$F80+$G80)*(-1),IF($C80="SELL",($D80*$E80)-$F80-$G80))</f>
        <v>19707.735</v>
      </c>
      <c r="J80" s="4"/>
    </row>
    <row r="81" spans="2:8" ht="18.75">
      <c r="B81" s="8" t="s">
        <v>104</v>
      </c>
      <c r="C81" s="8" t="s">
        <v>16</v>
      </c>
      <c r="D81" s="9">
        <v>100</v>
      </c>
      <c r="E81" s="3">
        <v>105</v>
      </c>
      <c r="F81" s="3">
        <f t="shared" si="0"/>
        <v>21</v>
      </c>
      <c r="G81" s="3">
        <f t="shared" si="1"/>
        <v>1.4700000000000002</v>
      </c>
      <c r="H81" s="3">
        <f t="shared" si="2"/>
        <v>-10522.47</v>
      </c>
    </row>
    <row r="82" spans="2:8" ht="18.75">
      <c r="B82" s="8" t="s">
        <v>104</v>
      </c>
      <c r="C82" s="8" t="s">
        <v>16</v>
      </c>
      <c r="D82" s="9">
        <v>600</v>
      </c>
      <c r="E82" s="3">
        <v>104</v>
      </c>
      <c r="F82" s="3">
        <f t="shared" si="0"/>
        <v>124.8</v>
      </c>
      <c r="G82" s="3">
        <f t="shared" si="1"/>
        <v>8.736</v>
      </c>
      <c r="H82" s="3">
        <f t="shared" si="2"/>
        <v>-62533.536</v>
      </c>
    </row>
    <row r="83" spans="2:8" ht="18.75">
      <c r="B83" s="8" t="s">
        <v>104</v>
      </c>
      <c r="C83" s="8" t="s">
        <v>16</v>
      </c>
      <c r="D83" s="9">
        <v>100</v>
      </c>
      <c r="E83" s="3">
        <v>101</v>
      </c>
      <c r="F83" s="3">
        <f t="shared" si="0"/>
        <v>20.2</v>
      </c>
      <c r="G83" s="3">
        <f t="shared" si="1"/>
        <v>1.4140000000000001</v>
      </c>
      <c r="H83" s="3">
        <f t="shared" si="2"/>
        <v>-10121.614000000001</v>
      </c>
    </row>
    <row r="84" spans="2:8" ht="18.75">
      <c r="B84" s="8" t="s">
        <v>103</v>
      </c>
      <c r="C84" s="8" t="s">
        <v>16</v>
      </c>
      <c r="D84" s="9">
        <v>10000</v>
      </c>
      <c r="E84" s="3">
        <v>5.05</v>
      </c>
      <c r="F84" s="3">
        <f t="shared" si="0"/>
        <v>101</v>
      </c>
      <c r="G84" s="3">
        <f t="shared" si="1"/>
        <v>7.07</v>
      </c>
      <c r="H84" s="3">
        <f t="shared" si="2"/>
        <v>-50608.07</v>
      </c>
    </row>
    <row r="85" spans="2:10" ht="18.75">
      <c r="B85" s="8" t="s">
        <v>103</v>
      </c>
      <c r="C85" s="8" t="s">
        <v>37</v>
      </c>
      <c r="D85" s="9">
        <v>10000</v>
      </c>
      <c r="E85" s="3">
        <v>5.2</v>
      </c>
      <c r="F85" s="3">
        <f t="shared" si="0"/>
        <v>104</v>
      </c>
      <c r="G85" s="3">
        <f t="shared" si="1"/>
        <v>7.280000000000001</v>
      </c>
      <c r="H85" s="3">
        <f t="shared" si="2"/>
        <v>51888.72</v>
      </c>
      <c r="J85" s="45">
        <f>SUM(H84:H85)</f>
        <v>1280.6500000000015</v>
      </c>
    </row>
    <row r="86" spans="1:8" ht="19.5" thickBot="1">
      <c r="A86" s="10"/>
      <c r="B86" s="10"/>
      <c r="C86" s="10"/>
      <c r="D86" s="11"/>
      <c r="E86" s="12"/>
      <c r="F86" s="12"/>
      <c r="G86" s="33" t="s">
        <v>14</v>
      </c>
      <c r="H86" s="33">
        <f>SUM(H80:H85)</f>
        <v>-62189.235</v>
      </c>
    </row>
    <row r="87" spans="1:8" ht="18.75">
      <c r="A87" s="8" t="s">
        <v>118</v>
      </c>
      <c r="B87" s="8" t="s">
        <v>104</v>
      </c>
      <c r="C87" s="8" t="s">
        <v>16</v>
      </c>
      <c r="D87" s="9">
        <v>100</v>
      </c>
      <c r="E87" s="3">
        <v>98</v>
      </c>
      <c r="F87" s="3">
        <f t="shared" si="0"/>
        <v>19.6</v>
      </c>
      <c r="G87" s="3">
        <f t="shared" si="1"/>
        <v>1.3720000000000003</v>
      </c>
      <c r="H87" s="3">
        <f t="shared" si="2"/>
        <v>-9820.972</v>
      </c>
    </row>
    <row r="88" spans="2:8" ht="18.75">
      <c r="B88" s="8" t="s">
        <v>104</v>
      </c>
      <c r="C88" s="8" t="s">
        <v>16</v>
      </c>
      <c r="D88" s="9">
        <v>100</v>
      </c>
      <c r="E88" s="3">
        <v>92.5</v>
      </c>
      <c r="F88" s="3">
        <f t="shared" si="0"/>
        <v>18.5</v>
      </c>
      <c r="G88" s="3">
        <f t="shared" si="1"/>
        <v>1.2950000000000002</v>
      </c>
      <c r="H88" s="3">
        <f t="shared" si="2"/>
        <v>-9269.795</v>
      </c>
    </row>
    <row r="89" spans="2:8" ht="18.75">
      <c r="B89" s="8" t="s">
        <v>104</v>
      </c>
      <c r="C89" s="8" t="s">
        <v>37</v>
      </c>
      <c r="D89" s="9">
        <v>100</v>
      </c>
      <c r="E89" s="3">
        <v>93.5</v>
      </c>
      <c r="F89" s="3">
        <f t="shared" si="0"/>
        <v>18.7</v>
      </c>
      <c r="G89" s="3">
        <f t="shared" si="1"/>
        <v>1.3090000000000002</v>
      </c>
      <c r="H89" s="3">
        <f t="shared" si="2"/>
        <v>9329.991</v>
      </c>
    </row>
    <row r="90" spans="2:8" ht="18.75">
      <c r="B90" s="8" t="s">
        <v>30</v>
      </c>
      <c r="C90" s="8" t="s">
        <v>37</v>
      </c>
      <c r="D90" s="9">
        <v>400</v>
      </c>
      <c r="E90" s="3">
        <v>23.5</v>
      </c>
      <c r="F90" s="3">
        <f t="shared" si="0"/>
        <v>18.8</v>
      </c>
      <c r="G90" s="3">
        <f t="shared" si="1"/>
        <v>1.3160000000000003</v>
      </c>
      <c r="H90" s="3">
        <f t="shared" si="2"/>
        <v>9379.884</v>
      </c>
    </row>
    <row r="91" spans="1:8" ht="19.5" thickBot="1">
      <c r="A91" s="10"/>
      <c r="B91" s="10"/>
      <c r="C91" s="10"/>
      <c r="D91" s="11"/>
      <c r="E91" s="12"/>
      <c r="F91" s="12"/>
      <c r="G91" s="33" t="s">
        <v>14</v>
      </c>
      <c r="H91" s="33">
        <f>SUM(H87:H90)</f>
        <v>-380.8919999999998</v>
      </c>
    </row>
    <row r="92" spans="1:8" ht="18.75">
      <c r="A92" s="8" t="s">
        <v>121</v>
      </c>
      <c r="B92" s="8" t="s">
        <v>104</v>
      </c>
      <c r="C92" s="8" t="s">
        <v>16</v>
      </c>
      <c r="D92" s="9">
        <v>100</v>
      </c>
      <c r="E92" s="3">
        <v>95</v>
      </c>
      <c r="F92" s="3">
        <f t="shared" si="0"/>
        <v>19</v>
      </c>
      <c r="G92" s="3">
        <f t="shared" si="1"/>
        <v>1.33</v>
      </c>
      <c r="H92" s="3">
        <f>IF($C92="BUY",(($D92*$E92)+$F92+$G92)*(-1),IF($C92="SELL",($D92*$E92)-$F92-$G92))</f>
        <v>-9520.33</v>
      </c>
    </row>
    <row r="93" spans="1:8" ht="19.5" thickBot="1">
      <c r="A93" s="10"/>
      <c r="B93" s="10"/>
      <c r="C93" s="10"/>
      <c r="D93" s="11"/>
      <c r="E93" s="12"/>
      <c r="F93" s="12"/>
      <c r="G93" s="33" t="s">
        <v>14</v>
      </c>
      <c r="H93" s="33">
        <f>H92</f>
        <v>-9520.33</v>
      </c>
    </row>
    <row r="94" spans="1:8" ht="18.75">
      <c r="A94" s="8" t="s">
        <v>123</v>
      </c>
      <c r="B94" s="8" t="s">
        <v>104</v>
      </c>
      <c r="C94" s="8" t="s">
        <v>37</v>
      </c>
      <c r="D94" s="9">
        <v>200</v>
      </c>
      <c r="E94" s="3">
        <v>97.5</v>
      </c>
      <c r="F94" s="3">
        <f t="shared" si="0"/>
        <v>39</v>
      </c>
      <c r="G94" s="3">
        <f t="shared" si="1"/>
        <v>2.7300000000000004</v>
      </c>
      <c r="H94" s="3">
        <f>IF($C94="BUY",(($D94*$E94)+$F94+$G94)*(-1),IF($C94="SELL",($D94*$E94)-$F94-$G94))</f>
        <v>19458.27</v>
      </c>
    </row>
    <row r="95" spans="2:8" ht="18.75">
      <c r="B95" s="8" t="s">
        <v>104</v>
      </c>
      <c r="C95" s="8" t="s">
        <v>37</v>
      </c>
      <c r="D95" s="9">
        <v>500</v>
      </c>
      <c r="E95" s="3">
        <v>99.5</v>
      </c>
      <c r="F95" s="3">
        <f t="shared" si="0"/>
        <v>99.5</v>
      </c>
      <c r="G95" s="3">
        <f t="shared" si="1"/>
        <v>6.965000000000001</v>
      </c>
      <c r="H95" s="3">
        <f>IF($C95="BUY",(($D95*$E95)+$F95+$G95)*(-1),IF($C95="SELL",($D95*$E95)-$F95-$G95))</f>
        <v>49643.535</v>
      </c>
    </row>
    <row r="96" spans="1:8" ht="19.5" thickBot="1">
      <c r="A96" s="10"/>
      <c r="B96" s="10"/>
      <c r="C96" s="10"/>
      <c r="D96" s="11"/>
      <c r="E96" s="12"/>
      <c r="F96" s="12"/>
      <c r="G96" s="38" t="s">
        <v>38</v>
      </c>
      <c r="H96" s="38">
        <f>SUM(H94:H95)</f>
        <v>69101.80500000001</v>
      </c>
    </row>
    <row r="97" spans="1:11" ht="18.75">
      <c r="A97" s="8" t="s">
        <v>124</v>
      </c>
      <c r="B97" s="8" t="s">
        <v>104</v>
      </c>
      <c r="C97" s="8" t="s">
        <v>37</v>
      </c>
      <c r="D97" s="9">
        <v>300</v>
      </c>
      <c r="E97" s="3">
        <v>108</v>
      </c>
      <c r="F97" s="3">
        <f t="shared" si="0"/>
        <v>64.8</v>
      </c>
      <c r="G97" s="3">
        <f t="shared" si="1"/>
        <v>4.5360000000000005</v>
      </c>
      <c r="H97" s="3">
        <f>IF($C97="BUY",(($D97*$E97)+$F97+$G97)*(-1),IF($C97="SELL",($D97*$E97)-$F97-$G97))</f>
        <v>32330.664</v>
      </c>
      <c r="J97" s="46">
        <f>SUM(H81:H83,H87:H89,H92,H94:H95,H97)</f>
        <v>-1026.2569999999869</v>
      </c>
      <c r="K97" s="4"/>
    </row>
    <row r="98" spans="1:8" ht="19.5" thickBot="1">
      <c r="A98" s="10"/>
      <c r="B98" s="10"/>
      <c r="C98" s="10"/>
      <c r="D98" s="11"/>
      <c r="E98" s="12"/>
      <c r="F98" s="12"/>
      <c r="G98" s="38" t="s">
        <v>38</v>
      </c>
      <c r="H98" s="38">
        <f>H97</f>
        <v>32330.664</v>
      </c>
    </row>
    <row r="99" spans="1:8" ht="18.75">
      <c r="A99" s="8" t="s">
        <v>135</v>
      </c>
      <c r="B99" s="8" t="s">
        <v>134</v>
      </c>
      <c r="C99" s="8" t="s">
        <v>16</v>
      </c>
      <c r="D99" s="9">
        <v>1000</v>
      </c>
      <c r="E99" s="3">
        <v>35.25</v>
      </c>
      <c r="F99" s="3">
        <f t="shared" si="0"/>
        <v>70.5</v>
      </c>
      <c r="G99" s="3">
        <f t="shared" si="1"/>
        <v>4.9350000000000005</v>
      </c>
      <c r="H99" s="3">
        <f>IF($C99="BUY",(($D99*$E99)+$F99+$G99)*(-1),IF($C99="SELL",($D99*$E99)-$F99-$G99))</f>
        <v>-35325.435</v>
      </c>
    </row>
    <row r="100" spans="1:8" ht="19.5" thickBot="1">
      <c r="A100" s="10"/>
      <c r="B100" s="10"/>
      <c r="C100" s="10"/>
      <c r="D100" s="11"/>
      <c r="E100" s="12"/>
      <c r="F100" s="12"/>
      <c r="G100" s="33" t="s">
        <v>14</v>
      </c>
      <c r="H100" s="33">
        <f>H99</f>
        <v>-35325.435</v>
      </c>
    </row>
    <row r="101" spans="1:10" ht="18.75">
      <c r="A101" s="8" t="s">
        <v>139</v>
      </c>
      <c r="B101" s="8" t="s">
        <v>134</v>
      </c>
      <c r="C101" s="8" t="s">
        <v>37</v>
      </c>
      <c r="D101" s="9">
        <v>1000</v>
      </c>
      <c r="E101" s="3">
        <v>36.5</v>
      </c>
      <c r="F101" s="3">
        <f t="shared" si="0"/>
        <v>73</v>
      </c>
      <c r="G101" s="3">
        <f t="shared" si="1"/>
        <v>5.11</v>
      </c>
      <c r="H101" s="3">
        <f>IF($C101="BUY",(($D101*$E101)+$F101+$G101)*(-1),IF($C101="SELL",($D101*$E101)-$F101-$G101))</f>
        <v>36421.89</v>
      </c>
      <c r="J101" s="29">
        <f>SUM(H99,H101)</f>
        <v>1096.4550000000017</v>
      </c>
    </row>
    <row r="102" spans="1:8" ht="19.5" thickBot="1">
      <c r="A102" s="10"/>
      <c r="B102" s="10"/>
      <c r="C102" s="10"/>
      <c r="D102" s="11"/>
      <c r="E102" s="12"/>
      <c r="F102" s="12"/>
      <c r="G102" s="38" t="s">
        <v>38</v>
      </c>
      <c r="H102" s="38">
        <f>H101</f>
        <v>36421.89</v>
      </c>
    </row>
    <row r="103" spans="1:8" ht="18.75">
      <c r="A103" s="8" t="s">
        <v>141</v>
      </c>
      <c r="B103" s="8" t="s">
        <v>142</v>
      </c>
      <c r="C103" s="8" t="s">
        <v>16</v>
      </c>
      <c r="D103" s="9">
        <v>1000</v>
      </c>
      <c r="E103" s="3">
        <v>35.75</v>
      </c>
      <c r="F103" s="3">
        <f t="shared" si="0"/>
        <v>71.5</v>
      </c>
      <c r="G103" s="3">
        <f t="shared" si="1"/>
        <v>5.005000000000001</v>
      </c>
      <c r="H103" s="3">
        <f>IF($C103="BUY",(($D103*$E103)+$F103+$G103)*(-1),IF($C103="SELL",($D103*$E103)-$F103-$G103))</f>
        <v>-35826.505</v>
      </c>
    </row>
    <row r="104" spans="1:8" ht="19.5" thickBot="1">
      <c r="A104" s="10"/>
      <c r="B104" s="10"/>
      <c r="C104" s="10"/>
      <c r="D104" s="11"/>
      <c r="E104" s="12"/>
      <c r="F104" s="12"/>
      <c r="G104" s="33" t="s">
        <v>14</v>
      </c>
      <c r="H104" s="33">
        <f>H103</f>
        <v>-35826.505</v>
      </c>
    </row>
    <row r="105" spans="1:8" ht="18.75">
      <c r="A105" s="8" t="s">
        <v>151</v>
      </c>
      <c r="B105" s="8" t="s">
        <v>142</v>
      </c>
      <c r="C105" s="8" t="s">
        <v>16</v>
      </c>
      <c r="D105" s="9">
        <v>400</v>
      </c>
      <c r="E105" s="3">
        <v>36</v>
      </c>
      <c r="F105" s="3">
        <f t="shared" si="0"/>
        <v>28.8</v>
      </c>
      <c r="G105" s="3">
        <f t="shared" si="1"/>
        <v>2.0160000000000005</v>
      </c>
      <c r="H105" s="3">
        <f>IF($C105="BUY",(($D105*$E105)+$F105+$G105)*(-1),IF($C105="SELL",($D105*$E105)-$F105-$G105))</f>
        <v>-14430.815999999999</v>
      </c>
    </row>
    <row r="106" spans="2:8" ht="18.75">
      <c r="B106" s="8" t="s">
        <v>152</v>
      </c>
      <c r="C106" s="8" t="s">
        <v>16</v>
      </c>
      <c r="D106" s="9">
        <v>1000</v>
      </c>
      <c r="E106" s="3">
        <v>23.8</v>
      </c>
      <c r="F106" s="3">
        <f t="shared" si="0"/>
        <v>47.6</v>
      </c>
      <c r="G106" s="3">
        <f t="shared" si="1"/>
        <v>3.3320000000000003</v>
      </c>
      <c r="H106" s="3">
        <f>IF($C106="BUY",(($D106*$E106)+$F106+$G106)*(-1),IF($C106="SELL",($D106*$E106)-$F106-$G106))</f>
        <v>-23850.931999999997</v>
      </c>
    </row>
    <row r="107" spans="2:8" ht="18.75">
      <c r="B107" s="8" t="s">
        <v>103</v>
      </c>
      <c r="C107" s="8" t="s">
        <v>16</v>
      </c>
      <c r="D107" s="9">
        <v>6000</v>
      </c>
      <c r="E107" s="3">
        <v>4.26</v>
      </c>
      <c r="F107" s="3">
        <f t="shared" si="0"/>
        <v>51.120000000000005</v>
      </c>
      <c r="G107" s="3">
        <f t="shared" si="1"/>
        <v>3.5784000000000007</v>
      </c>
      <c r="H107" s="3">
        <f>IF($C107="BUY",(($D107*$E107)+$F107+$G107)*(-1),IF($C107="SELL",($D107*$E107)-$F107-$G107))</f>
        <v>-25614.698399999997</v>
      </c>
    </row>
    <row r="108" spans="1:8" ht="19.5" thickBot="1">
      <c r="A108" s="10"/>
      <c r="B108" s="10"/>
      <c r="C108" s="10"/>
      <c r="D108" s="11"/>
      <c r="E108" s="12"/>
      <c r="F108" s="12"/>
      <c r="G108" s="33" t="s">
        <v>14</v>
      </c>
      <c r="H108" s="33">
        <f>SUM(H105:H107)</f>
        <v>-63896.446399999986</v>
      </c>
    </row>
    <row r="109" spans="1:10" ht="18.75">
      <c r="A109" s="8" t="s">
        <v>157</v>
      </c>
      <c r="B109" s="8" t="s">
        <v>103</v>
      </c>
      <c r="C109" s="8" t="s">
        <v>37</v>
      </c>
      <c r="D109" s="9">
        <v>6000</v>
      </c>
      <c r="E109" s="3">
        <v>4.38</v>
      </c>
      <c r="F109" s="3">
        <f t="shared" si="0"/>
        <v>52.56</v>
      </c>
      <c r="G109" s="3">
        <f t="shared" si="1"/>
        <v>3.6792000000000007</v>
      </c>
      <c r="H109" s="3">
        <f aca="true" t="shared" si="3" ref="H109:H119">IF($C109="BUY",(($D109*$E109)+$F109+$G109)*(-1),IF($C109="SELL",($D109*$E109)-$F109-$G109))</f>
        <v>26223.7608</v>
      </c>
      <c r="J109" s="29">
        <f>SUM(H107,H109)</f>
        <v>609.0624000000025</v>
      </c>
    </row>
    <row r="110" spans="2:8" ht="18.75">
      <c r="B110" s="8" t="s">
        <v>158</v>
      </c>
      <c r="C110" s="8" t="s">
        <v>16</v>
      </c>
      <c r="D110" s="9">
        <v>1000</v>
      </c>
      <c r="E110" s="3">
        <v>10.8</v>
      </c>
      <c r="F110" s="3">
        <f t="shared" si="0"/>
        <v>21.6</v>
      </c>
      <c r="G110" s="3">
        <f t="shared" si="1"/>
        <v>1.5120000000000002</v>
      </c>
      <c r="H110" s="3">
        <f t="shared" si="3"/>
        <v>-10823.112000000001</v>
      </c>
    </row>
    <row r="111" spans="2:8" ht="18.75">
      <c r="B111" s="8" t="s">
        <v>158</v>
      </c>
      <c r="C111" s="8" t="s">
        <v>16</v>
      </c>
      <c r="D111" s="9">
        <v>2500</v>
      </c>
      <c r="E111" s="3">
        <v>10.7</v>
      </c>
      <c r="F111" s="3">
        <f t="shared" si="0"/>
        <v>53.5</v>
      </c>
      <c r="G111" s="3">
        <f t="shared" si="1"/>
        <v>3.7450000000000006</v>
      </c>
      <c r="H111" s="3">
        <f t="shared" si="3"/>
        <v>-26807.245</v>
      </c>
    </row>
    <row r="112" spans="2:8" ht="18.75">
      <c r="B112" s="8" t="s">
        <v>158</v>
      </c>
      <c r="C112" s="8" t="s">
        <v>16</v>
      </c>
      <c r="D112" s="9">
        <v>1500</v>
      </c>
      <c r="E112" s="3">
        <v>10.6</v>
      </c>
      <c r="F112" s="3">
        <f t="shared" si="0"/>
        <v>31.8</v>
      </c>
      <c r="G112" s="3">
        <f t="shared" si="1"/>
        <v>2.2260000000000004</v>
      </c>
      <c r="H112" s="3">
        <f t="shared" si="3"/>
        <v>-15934.026</v>
      </c>
    </row>
    <row r="113" spans="2:10" ht="18.75">
      <c r="B113" s="8" t="s">
        <v>142</v>
      </c>
      <c r="C113" s="8" t="s">
        <v>37</v>
      </c>
      <c r="D113" s="9">
        <v>400</v>
      </c>
      <c r="E113" s="3">
        <v>37.25</v>
      </c>
      <c r="F113" s="3">
        <f t="shared" si="0"/>
        <v>29.8</v>
      </c>
      <c r="G113" s="3">
        <f t="shared" si="1"/>
        <v>2.0860000000000003</v>
      </c>
      <c r="H113" s="3">
        <f t="shared" si="3"/>
        <v>14868.114000000001</v>
      </c>
      <c r="J113" s="72">
        <f>SUM(H105,H113)</f>
        <v>437.2980000000025</v>
      </c>
    </row>
    <row r="114" spans="2:8" ht="18.75">
      <c r="B114" s="8" t="s">
        <v>159</v>
      </c>
      <c r="C114" s="8" t="s">
        <v>16</v>
      </c>
      <c r="D114" s="9">
        <v>3000</v>
      </c>
      <c r="E114" s="3">
        <v>3.7</v>
      </c>
      <c r="F114" s="3">
        <f t="shared" si="0"/>
        <v>22.2</v>
      </c>
      <c r="G114" s="3">
        <f t="shared" si="1"/>
        <v>1.554</v>
      </c>
      <c r="H114" s="3">
        <f t="shared" si="3"/>
        <v>-11123.754</v>
      </c>
    </row>
    <row r="115" spans="2:10" ht="18.75">
      <c r="B115" s="8" t="s">
        <v>158</v>
      </c>
      <c r="C115" s="8" t="s">
        <v>37</v>
      </c>
      <c r="D115" s="9">
        <v>1500</v>
      </c>
      <c r="E115" s="3">
        <v>10.7</v>
      </c>
      <c r="F115" s="3">
        <f t="shared" si="0"/>
        <v>32.099999999999994</v>
      </c>
      <c r="G115" s="3">
        <f t="shared" si="1"/>
        <v>2.247</v>
      </c>
      <c r="H115" s="3">
        <f t="shared" si="3"/>
        <v>16015.652999999998</v>
      </c>
      <c r="J115" s="29">
        <f>SUM(H112,H115)</f>
        <v>81.62699999999859</v>
      </c>
    </row>
    <row r="116" spans="1:8" ht="19.5" thickBot="1">
      <c r="A116" s="10"/>
      <c r="B116" s="10"/>
      <c r="C116" s="10"/>
      <c r="D116" s="11"/>
      <c r="E116" s="12"/>
      <c r="F116" s="12"/>
      <c r="G116" s="33" t="s">
        <v>14</v>
      </c>
      <c r="H116" s="33">
        <f>SUM(H109:H115)</f>
        <v>-7580.609199999999</v>
      </c>
    </row>
    <row r="117" spans="1:8" ht="18.75">
      <c r="A117" s="73" t="s">
        <v>162</v>
      </c>
      <c r="B117" s="8" t="s">
        <v>152</v>
      </c>
      <c r="C117" s="8" t="s">
        <v>37</v>
      </c>
      <c r="D117" s="9">
        <v>500</v>
      </c>
      <c r="E117" s="3">
        <v>23.8</v>
      </c>
      <c r="F117" s="3">
        <f t="shared" si="0"/>
        <v>23.8</v>
      </c>
      <c r="G117" s="3">
        <f t="shared" si="1"/>
        <v>1.6660000000000001</v>
      </c>
      <c r="H117" s="3">
        <f t="shared" si="3"/>
        <v>11874.534000000001</v>
      </c>
    </row>
    <row r="118" spans="2:8" ht="18.75">
      <c r="B118" s="8" t="s">
        <v>159</v>
      </c>
      <c r="C118" s="8" t="s">
        <v>37</v>
      </c>
      <c r="D118" s="9">
        <v>2000</v>
      </c>
      <c r="E118" s="3">
        <v>3.64</v>
      </c>
      <c r="F118" s="3">
        <f t="shared" si="0"/>
        <v>14.56</v>
      </c>
      <c r="G118" s="3">
        <f t="shared" si="1"/>
        <v>1.0192</v>
      </c>
      <c r="H118" s="3">
        <f t="shared" si="3"/>
        <v>7264.4208</v>
      </c>
    </row>
    <row r="119" spans="2:10" ht="18.75">
      <c r="B119" s="74" t="s">
        <v>158</v>
      </c>
      <c r="C119" s="74" t="s">
        <v>16</v>
      </c>
      <c r="D119" s="75">
        <v>5000</v>
      </c>
      <c r="E119" s="76">
        <v>10.1</v>
      </c>
      <c r="F119" s="76">
        <f>($D119*$E119)*0.0025</f>
        <v>126.25</v>
      </c>
      <c r="G119" s="76">
        <f t="shared" si="1"/>
        <v>8.8375</v>
      </c>
      <c r="H119" s="76">
        <f t="shared" si="3"/>
        <v>-50635.0875</v>
      </c>
      <c r="J119" s="4"/>
    </row>
    <row r="120" spans="1:8" ht="19.5" thickBot="1">
      <c r="A120" s="10"/>
      <c r="B120" s="10"/>
      <c r="C120" s="10"/>
      <c r="D120" s="11"/>
      <c r="E120" s="12"/>
      <c r="F120" s="12"/>
      <c r="G120" s="33" t="s">
        <v>14</v>
      </c>
      <c r="H120" s="33">
        <f>SUM(H117:H119)-((50*1.07)-SUM(F117,G117,F118,G118))</f>
        <v>-31508.5875</v>
      </c>
    </row>
    <row r="121" spans="1:8" ht="18.75">
      <c r="A121" s="8" t="s">
        <v>163</v>
      </c>
      <c r="B121" s="8" t="s">
        <v>142</v>
      </c>
      <c r="C121" s="8" t="s">
        <v>37</v>
      </c>
      <c r="D121" s="9">
        <v>1000</v>
      </c>
      <c r="E121" s="3">
        <v>37</v>
      </c>
      <c r="F121" s="3">
        <f>($D121*$E121)*0.002</f>
        <v>74</v>
      </c>
      <c r="G121" s="3">
        <f t="shared" si="1"/>
        <v>5.180000000000001</v>
      </c>
      <c r="H121" s="3">
        <f>IF($C121="BUY",(($D121*$E121)+$F121+$G121)*(-1),IF($C121="SELL",($D121*$E121)-$F121-$G121))</f>
        <v>36920.82</v>
      </c>
    </row>
    <row r="122" spans="2:10" ht="18.75">
      <c r="B122" s="8" t="s">
        <v>158</v>
      </c>
      <c r="C122" s="8" t="s">
        <v>37</v>
      </c>
      <c r="D122" s="9">
        <v>3500</v>
      </c>
      <c r="E122" s="3">
        <v>9.55</v>
      </c>
      <c r="F122" s="3">
        <f>($D122*$E122)*0.002</f>
        <v>66.85</v>
      </c>
      <c r="G122" s="3">
        <f t="shared" si="1"/>
        <v>4.6795</v>
      </c>
      <c r="H122" s="3">
        <f>IF($C122="BUY",(($D122*$E122)+$F122+$G122)*(-1),IF($C122="SELL",($D122*$E122)-$F122-$G122))</f>
        <v>33353.4705</v>
      </c>
      <c r="J122" s="77">
        <f>SUM(H110:H111,H122)</f>
        <v>-4276.8865000000005</v>
      </c>
    </row>
    <row r="123" spans="2:8" ht="18.75">
      <c r="B123" s="8" t="s">
        <v>165</v>
      </c>
      <c r="C123" s="8" t="s">
        <v>16</v>
      </c>
      <c r="D123" s="9">
        <v>2400</v>
      </c>
      <c r="E123" s="3">
        <v>7.15</v>
      </c>
      <c r="F123" s="3">
        <f>($D123*$E123)*0.002</f>
        <v>34.32</v>
      </c>
      <c r="G123" s="3">
        <f t="shared" si="1"/>
        <v>2.4024</v>
      </c>
      <c r="H123" s="3">
        <f>IF($C123="BUY",(($D123*$E123)+$F123+$G123)*(-1),IF($C123="SELL",($D123*$E123)-$F123-$G123))</f>
        <v>-17196.7224</v>
      </c>
    </row>
    <row r="124" spans="1:8" ht="19.5" thickBot="1">
      <c r="A124" s="10"/>
      <c r="B124" s="10"/>
      <c r="C124" s="10"/>
      <c r="D124" s="11"/>
      <c r="E124" s="12"/>
      <c r="F124" s="12"/>
      <c r="G124" s="38" t="s">
        <v>38</v>
      </c>
      <c r="H124" s="38">
        <f>SUM(H121:H123)</f>
        <v>53077.568100000004</v>
      </c>
    </row>
    <row r="125" spans="1:8" ht="18.75">
      <c r="A125" s="8" t="s">
        <v>166</v>
      </c>
      <c r="B125" s="8" t="s">
        <v>142</v>
      </c>
      <c r="C125" s="8" t="s">
        <v>16</v>
      </c>
      <c r="D125" s="9">
        <v>1000</v>
      </c>
      <c r="E125" s="3">
        <v>36.5</v>
      </c>
      <c r="F125" s="3">
        <f>($D125*$E125)*0.002</f>
        <v>73</v>
      </c>
      <c r="G125" s="3">
        <f t="shared" si="1"/>
        <v>5.11</v>
      </c>
      <c r="H125" s="3">
        <f>IF($C125="BUY",(($D125*$E125)+$F125+$G125)*(-1),IF($C125="SELL",($D125*$E125)-$F125-$G125))</f>
        <v>-36578.11</v>
      </c>
    </row>
    <row r="126" spans="1:8" ht="19.5" thickBot="1">
      <c r="A126" s="10"/>
      <c r="B126" s="10"/>
      <c r="C126" s="10"/>
      <c r="D126" s="11"/>
      <c r="E126" s="12"/>
      <c r="F126" s="12"/>
      <c r="G126" s="33" t="s">
        <v>14</v>
      </c>
      <c r="H126" s="33">
        <f>H125</f>
        <v>-36578.11</v>
      </c>
    </row>
    <row r="127" spans="1:8" ht="18.75">
      <c r="A127" s="8" t="s">
        <v>168</v>
      </c>
      <c r="B127" s="8" t="s">
        <v>142</v>
      </c>
      <c r="C127" s="8" t="s">
        <v>16</v>
      </c>
      <c r="D127" s="9">
        <v>500</v>
      </c>
      <c r="E127" s="3">
        <v>36.5</v>
      </c>
      <c r="F127" s="3">
        <f>($D127*$E127)*0.002</f>
        <v>36.5</v>
      </c>
      <c r="G127" s="3">
        <f t="shared" si="1"/>
        <v>2.555</v>
      </c>
      <c r="H127" s="3">
        <f>IF($C127="BUY",(($D127*$E127)+$F127+$G127)*(-1),IF($C127="SELL",($D127*$E127)-$F127-$G127))</f>
        <v>-18289.055</v>
      </c>
    </row>
    <row r="128" spans="2:10" ht="18.75">
      <c r="B128" s="8" t="s">
        <v>165</v>
      </c>
      <c r="C128" s="8" t="s">
        <v>37</v>
      </c>
      <c r="D128" s="9">
        <v>2400</v>
      </c>
      <c r="E128" s="3">
        <v>7.35</v>
      </c>
      <c r="F128" s="3">
        <f>($D128*$E128)*0.002</f>
        <v>35.28</v>
      </c>
      <c r="G128" s="3">
        <f t="shared" si="1"/>
        <v>2.4696000000000002</v>
      </c>
      <c r="H128" s="3">
        <f>IF($C128="BUY",(($D128*$E128)+$F128+$G128)*(-1),IF($C128="SELL",($D128*$E128)-$F128-$G128))</f>
        <v>17602.2504</v>
      </c>
      <c r="J128" s="29">
        <f>SUM(H123,H128)</f>
        <v>405.52800000000207</v>
      </c>
    </row>
    <row r="129" spans="2:8" ht="18.75">
      <c r="B129" s="8" t="s">
        <v>169</v>
      </c>
      <c r="C129" s="8" t="s">
        <v>16</v>
      </c>
      <c r="D129" s="9">
        <v>5000</v>
      </c>
      <c r="E129" s="3">
        <v>4.94</v>
      </c>
      <c r="F129" s="3">
        <f>($D129*$E129)*0.002</f>
        <v>49.400000000000006</v>
      </c>
      <c r="G129" s="3">
        <f t="shared" si="1"/>
        <v>3.4580000000000006</v>
      </c>
      <c r="H129" s="3">
        <f>IF($C129="BUY",(($D129*$E129)+$F129+$G129)*(-1),IF($C129="SELL",($D129*$E129)-$F129-$G129))</f>
        <v>-24752.858000000004</v>
      </c>
    </row>
    <row r="130" spans="2:8" ht="18.75">
      <c r="B130" s="8" t="s">
        <v>32</v>
      </c>
      <c r="C130" s="8" t="s">
        <v>16</v>
      </c>
      <c r="D130" s="9">
        <v>500</v>
      </c>
      <c r="E130" s="3">
        <v>37</v>
      </c>
      <c r="F130" s="3">
        <f>($D130*$E130)*0.002</f>
        <v>37</v>
      </c>
      <c r="G130" s="3">
        <f t="shared" si="1"/>
        <v>2.5900000000000003</v>
      </c>
      <c r="H130" s="3">
        <f>IF($C130="BUY",(($D130*$E130)+$F130+$G130)*(-1),IF($C130="SELL",($D130*$E130)-$F130-$G130))</f>
        <v>-18539.59</v>
      </c>
    </row>
    <row r="131" spans="1:8" ht="19.5" thickBot="1">
      <c r="A131" s="10"/>
      <c r="B131" s="10"/>
      <c r="C131" s="10"/>
      <c r="D131" s="11"/>
      <c r="E131" s="12"/>
      <c r="F131" s="12"/>
      <c r="G131" s="33" t="s">
        <v>14</v>
      </c>
      <c r="H131" s="33">
        <f>SUM(H127:H130)</f>
        <v>-43979.25260000001</v>
      </c>
    </row>
    <row r="132" spans="1:8" ht="18.75">
      <c r="A132" s="8" t="s">
        <v>173</v>
      </c>
      <c r="B132" s="8" t="s">
        <v>142</v>
      </c>
      <c r="C132" s="8" t="s">
        <v>37</v>
      </c>
      <c r="D132" s="9">
        <v>1000</v>
      </c>
      <c r="E132" s="3">
        <v>36</v>
      </c>
      <c r="F132" s="3">
        <f>($D132*$E132)*0.002</f>
        <v>72</v>
      </c>
      <c r="G132" s="3">
        <f t="shared" si="1"/>
        <v>5.040000000000001</v>
      </c>
      <c r="H132" s="3">
        <f>IF($C132="BUY",(($D132*$E132)+$F132+$G132)*(-1),IF($C132="SELL",($D132*$E132)-$F132-$G132))</f>
        <v>35922.96</v>
      </c>
    </row>
    <row r="133" spans="2:8" ht="18.75">
      <c r="B133" s="8" t="s">
        <v>142</v>
      </c>
      <c r="C133" s="8" t="s">
        <v>16</v>
      </c>
      <c r="D133" s="9">
        <v>1000</v>
      </c>
      <c r="E133" s="3">
        <v>34.25</v>
      </c>
      <c r="F133" s="3">
        <f>($D133*$E133)*0.002</f>
        <v>68.5</v>
      </c>
      <c r="G133" s="3">
        <f t="shared" si="1"/>
        <v>4.795000000000001</v>
      </c>
      <c r="H133" s="3">
        <f>IF($C133="BUY",(($D133*$E133)+$F133+$G133)*(-1),IF($C133="SELL",($D133*$E133)-$F133-$G133))</f>
        <v>-34323.295</v>
      </c>
    </row>
    <row r="134" spans="2:8" ht="18.75">
      <c r="B134" s="8" t="s">
        <v>169</v>
      </c>
      <c r="C134" s="8" t="s">
        <v>37</v>
      </c>
      <c r="D134" s="9">
        <v>3000</v>
      </c>
      <c r="E134" s="3">
        <v>4.48</v>
      </c>
      <c r="F134" s="3">
        <f>($D134*$E134)*0.002</f>
        <v>26.880000000000003</v>
      </c>
      <c r="G134" s="3">
        <f t="shared" si="1"/>
        <v>1.8816000000000004</v>
      </c>
      <c r="H134" s="3">
        <f>IF($C134="BUY",(($D134*$E134)+$F134+$G134)*(-1),IF($C134="SELL",($D134*$E134)-$F134-$G134))</f>
        <v>13411.238400000002</v>
      </c>
    </row>
    <row r="135" spans="1:8" ht="19.5" thickBot="1">
      <c r="A135" s="10"/>
      <c r="B135" s="10"/>
      <c r="C135" s="10"/>
      <c r="D135" s="11"/>
      <c r="E135" s="12"/>
      <c r="F135" s="12"/>
      <c r="G135" s="38" t="s">
        <v>38</v>
      </c>
      <c r="H135" s="38">
        <f>SUM(H132:H134)</f>
        <v>15010.903400000003</v>
      </c>
    </row>
    <row r="136" spans="1:10" ht="18.75">
      <c r="A136" s="8" t="s">
        <v>175</v>
      </c>
      <c r="B136" s="8" t="s">
        <v>169</v>
      </c>
      <c r="C136" s="8" t="s">
        <v>37</v>
      </c>
      <c r="D136" s="9">
        <v>2000</v>
      </c>
      <c r="E136" s="3">
        <v>4.12</v>
      </c>
      <c r="F136" s="3">
        <f>($D136*$E136)*0.002</f>
        <v>16.48</v>
      </c>
      <c r="G136" s="3">
        <f t="shared" si="1"/>
        <v>1.1536000000000002</v>
      </c>
      <c r="H136" s="3">
        <f>IF($C136="BUY",(($D136*$E136)+$F136+$G136)*(-1),IF($C136="SELL",($D136*$E136)-$F136-$G136))</f>
        <v>8222.3664</v>
      </c>
      <c r="J136" s="77">
        <f>SUM(H129,H134,H136)</f>
        <v>-3119.253200000001</v>
      </c>
    </row>
    <row r="137" spans="2:8" ht="18.75">
      <c r="B137" s="8" t="s">
        <v>152</v>
      </c>
      <c r="C137" s="8" t="s">
        <v>37</v>
      </c>
      <c r="D137" s="9">
        <v>500</v>
      </c>
      <c r="E137" s="3">
        <v>23</v>
      </c>
      <c r="F137" s="3">
        <f>($D137*$E137)*0.002</f>
        <v>23</v>
      </c>
      <c r="G137" s="3">
        <f t="shared" si="1"/>
        <v>1.61</v>
      </c>
      <c r="H137" s="3">
        <f>IF($C137="BUY",(($D137*$E137)+$F137+$G137)*(-1),IF($C137="SELL",($D137*$E137)-$F137-$G137))</f>
        <v>11475.39</v>
      </c>
    </row>
    <row r="138" spans="2:8" ht="18.75">
      <c r="B138" s="8" t="s">
        <v>159</v>
      </c>
      <c r="C138" s="8" t="s">
        <v>16</v>
      </c>
      <c r="D138" s="9">
        <v>9000</v>
      </c>
      <c r="E138" s="3">
        <v>3.7</v>
      </c>
      <c r="F138" s="3">
        <f>($D138*$E138)*0.002</f>
        <v>66.6</v>
      </c>
      <c r="G138" s="3">
        <f t="shared" si="1"/>
        <v>4.662</v>
      </c>
      <c r="H138" s="3">
        <f>IF($C138="BUY",(($D138*$E138)+$F138+$G138)*(-1),IF($C138="SELL",($D138*$E138)-$F138-$G138))</f>
        <v>-33371.261999999995</v>
      </c>
    </row>
    <row r="139" spans="1:8" ht="19.5" thickBot="1">
      <c r="A139" s="10"/>
      <c r="B139" s="10"/>
      <c r="C139" s="10"/>
      <c r="D139" s="11"/>
      <c r="E139" s="12"/>
      <c r="F139" s="12"/>
      <c r="G139" s="33" t="s">
        <v>14</v>
      </c>
      <c r="H139" s="33">
        <f>SUM(H136:H138)</f>
        <v>-13673.505599999997</v>
      </c>
    </row>
    <row r="140" spans="1:10" ht="18.75">
      <c r="A140" s="8" t="s">
        <v>177</v>
      </c>
      <c r="B140" s="80" t="s">
        <v>158</v>
      </c>
      <c r="C140" s="80" t="s">
        <v>37</v>
      </c>
      <c r="D140" s="81">
        <v>5000</v>
      </c>
      <c r="E140" s="82">
        <v>9.4</v>
      </c>
      <c r="F140" s="82">
        <f>($D140*$E140)*0.0025</f>
        <v>117.5</v>
      </c>
      <c r="G140" s="82">
        <f t="shared" si="1"/>
        <v>8.225000000000001</v>
      </c>
      <c r="H140" s="82">
        <f>IF($C140="BUY",(($D140*$E140)+$F140+$G140)*(-1),IF($C140="SELL",($D140*$E140)-$F140-$G140))</f>
        <v>46874.275</v>
      </c>
      <c r="J140" s="77">
        <f>SUM(H140,H119)</f>
        <v>-3760.8125</v>
      </c>
    </row>
    <row r="141" spans="1:8" ht="19.5" thickBot="1">
      <c r="A141" s="10"/>
      <c r="B141" s="10"/>
      <c r="C141" s="10"/>
      <c r="D141" s="11"/>
      <c r="E141" s="12"/>
      <c r="F141" s="12"/>
      <c r="G141" s="38" t="s">
        <v>38</v>
      </c>
      <c r="H141" s="38">
        <f>H140</f>
        <v>46874.275</v>
      </c>
    </row>
    <row r="142" spans="1:8" ht="18.75">
      <c r="A142" s="8" t="s">
        <v>180</v>
      </c>
      <c r="B142" s="8" t="s">
        <v>159</v>
      </c>
      <c r="C142" s="8" t="s">
        <v>16</v>
      </c>
      <c r="D142" s="9">
        <v>10000</v>
      </c>
      <c r="E142" s="3">
        <v>3.78</v>
      </c>
      <c r="F142" s="3">
        <f>($D142*$E142)*0.002</f>
        <v>75.60000000000001</v>
      </c>
      <c r="G142" s="3">
        <f t="shared" si="1"/>
        <v>5.292000000000001</v>
      </c>
      <c r="H142" s="3">
        <f>IF($C142="BUY",(($D142*$E142)+$F142+$G142)*(-1),IF($C142="SELL",($D142*$E142)-$F142-$G142))</f>
        <v>-37880.892</v>
      </c>
    </row>
    <row r="143" spans="1:8" ht="19.5" thickBot="1">
      <c r="A143" s="10"/>
      <c r="B143" s="10"/>
      <c r="C143" s="10"/>
      <c r="D143" s="11"/>
      <c r="E143" s="12"/>
      <c r="F143" s="12"/>
      <c r="G143" s="33" t="s">
        <v>14</v>
      </c>
      <c r="H143" s="33">
        <f>H142</f>
        <v>-37880.892</v>
      </c>
    </row>
    <row r="144" spans="1:10" ht="18.75">
      <c r="A144" s="8" t="s">
        <v>185</v>
      </c>
      <c r="B144" s="8" t="s">
        <v>32</v>
      </c>
      <c r="C144" s="8" t="s">
        <v>37</v>
      </c>
      <c r="D144" s="9">
        <v>500</v>
      </c>
      <c r="E144" s="3">
        <v>38.25</v>
      </c>
      <c r="F144" s="3">
        <f>($D144*$E144)*0.002</f>
        <v>38.25</v>
      </c>
      <c r="G144" s="3">
        <f t="shared" si="1"/>
        <v>2.6775</v>
      </c>
      <c r="H144" s="3">
        <f>IF($C144="BUY",(($D144*$E144)+$F144+$G144)*(-1),IF($C144="SELL",($D144*$E144)-$F144-$G144))</f>
        <v>19084.0725</v>
      </c>
      <c r="J144" s="29">
        <f>SUM(H130,H144)</f>
        <v>544.4824999999983</v>
      </c>
    </row>
    <row r="145" spans="2:8" ht="18.75">
      <c r="B145" s="8" t="s">
        <v>159</v>
      </c>
      <c r="C145" s="8" t="s">
        <v>16</v>
      </c>
      <c r="D145" s="9">
        <v>7000</v>
      </c>
      <c r="E145" s="3">
        <v>3.86</v>
      </c>
      <c r="F145" s="3">
        <f>($D145*$E145)*0.002</f>
        <v>54.04</v>
      </c>
      <c r="G145" s="3">
        <f t="shared" si="1"/>
        <v>3.7828000000000004</v>
      </c>
      <c r="H145" s="3">
        <f>IF($C145="BUY",(($D145*$E145)+$F145+$G145)*(-1),IF($C145="SELL",($D145*$E145)-$F145-$G145))</f>
        <v>-27077.8228</v>
      </c>
    </row>
    <row r="146" spans="2:8" ht="18.75">
      <c r="B146" s="8" t="s">
        <v>159</v>
      </c>
      <c r="C146" s="8" t="s">
        <v>37</v>
      </c>
      <c r="D146" s="9">
        <v>500</v>
      </c>
      <c r="E146" s="3">
        <v>3.84</v>
      </c>
      <c r="F146" s="3">
        <f>($D146*$E146)*0.002</f>
        <v>3.84</v>
      </c>
      <c r="G146" s="3">
        <f t="shared" si="1"/>
        <v>0.26880000000000004</v>
      </c>
      <c r="H146" s="3">
        <f>IF($C146="BUY",(($D146*$E146)+$F146+$G146)*(-1),IF($C146="SELL",($D146*$E146)-$F146-$G146))</f>
        <v>1915.8912</v>
      </c>
    </row>
    <row r="147" spans="1:8" ht="19.5" thickBot="1">
      <c r="A147" s="10"/>
      <c r="B147" s="10"/>
      <c r="C147" s="10"/>
      <c r="D147" s="11"/>
      <c r="E147" s="12"/>
      <c r="F147" s="12"/>
      <c r="G147" s="33" t="s">
        <v>14</v>
      </c>
      <c r="H147" s="33">
        <f>SUM(H144:H146)</f>
        <v>-6077.859100000003</v>
      </c>
    </row>
    <row r="148" spans="1:8" ht="18.75">
      <c r="A148" s="8" t="s">
        <v>192</v>
      </c>
      <c r="B148" s="8" t="s">
        <v>152</v>
      </c>
      <c r="C148" s="8" t="s">
        <v>16</v>
      </c>
      <c r="D148" s="9">
        <v>200</v>
      </c>
      <c r="E148" s="3">
        <v>22.8</v>
      </c>
      <c r="F148" s="3">
        <f>($D148*$E148)*0.002</f>
        <v>9.120000000000001</v>
      </c>
      <c r="G148" s="3">
        <f t="shared" si="1"/>
        <v>0.6384000000000001</v>
      </c>
      <c r="H148" s="3">
        <f>IF($C148="BUY",(($D148*$E148)+$F148+$G148)*(-1),IF($C148="SELL",($D148*$E148)-$F148-$G148))</f>
        <v>-4569.7584</v>
      </c>
    </row>
    <row r="149" spans="2:10" ht="18.75">
      <c r="B149" s="8" t="s">
        <v>152</v>
      </c>
      <c r="C149" s="8" t="s">
        <v>37</v>
      </c>
      <c r="D149" s="9">
        <v>200</v>
      </c>
      <c r="E149" s="3">
        <v>24</v>
      </c>
      <c r="F149" s="3">
        <f>($D149*$E149)*0.002</f>
        <v>9.6</v>
      </c>
      <c r="G149" s="3">
        <f>$F149*0.07</f>
        <v>0.672</v>
      </c>
      <c r="H149" s="3">
        <f>IF($C149="BUY",(($D149*$E149)+$F149+$G149)*(-1),IF($C149="SELL",($D149*$E149)-$F149-$G149))</f>
        <v>4789.728</v>
      </c>
      <c r="J149" s="29">
        <f>SUM(H148,H149)</f>
        <v>219.96960000000036</v>
      </c>
    </row>
    <row r="150" spans="2:8" ht="18.75">
      <c r="B150" s="8" t="s">
        <v>159</v>
      </c>
      <c r="C150" s="8" t="s">
        <v>37</v>
      </c>
      <c r="D150" s="9">
        <v>5000</v>
      </c>
      <c r="E150" s="3">
        <v>3.88</v>
      </c>
      <c r="F150" s="3">
        <f>($D150*$E150)*0.002</f>
        <v>38.800000000000004</v>
      </c>
      <c r="G150" s="3">
        <f>$F150*0.07</f>
        <v>2.7160000000000006</v>
      </c>
      <c r="H150" s="3">
        <f>IF($C150="BUY",(($D150*$E150)+$F150+$G150)*(-1),IF($C150="SELL",($D150*$E150)-$F150-$G150))</f>
        <v>19358.484</v>
      </c>
    </row>
    <row r="151" spans="2:10" ht="18.75">
      <c r="B151" s="8" t="s">
        <v>159</v>
      </c>
      <c r="C151" s="8" t="s">
        <v>37</v>
      </c>
      <c r="D151" s="9">
        <v>10000</v>
      </c>
      <c r="E151" s="3">
        <v>3.94</v>
      </c>
      <c r="F151" s="3">
        <f>($D151*$E151)*0.002</f>
        <v>78.8</v>
      </c>
      <c r="G151" s="3">
        <f>$F151*0.07</f>
        <v>5.516</v>
      </c>
      <c r="H151" s="3">
        <f>IF($C151="BUY",(($D151*$E151)+$F151+$G151)*(-1),IF($C151="SELL",($D151*$E151)-$F151-$G151))</f>
        <v>39315.683999999994</v>
      </c>
      <c r="J151" s="4"/>
    </row>
    <row r="152" spans="1:8" ht="19.5" thickBot="1">
      <c r="A152" s="10"/>
      <c r="B152" s="10"/>
      <c r="C152" s="10"/>
      <c r="D152" s="11"/>
      <c r="E152" s="12"/>
      <c r="F152" s="12"/>
      <c r="G152" s="38" t="s">
        <v>38</v>
      </c>
      <c r="H152" s="38">
        <f>SUM(H148:H151)</f>
        <v>58894.137599999995</v>
      </c>
    </row>
    <row r="153" spans="1:10" ht="18.75">
      <c r="A153" s="8" t="s">
        <v>193</v>
      </c>
      <c r="B153" s="8" t="s">
        <v>159</v>
      </c>
      <c r="C153" s="8" t="s">
        <v>37</v>
      </c>
      <c r="D153" s="9">
        <v>11500</v>
      </c>
      <c r="E153" s="3">
        <v>4.04</v>
      </c>
      <c r="F153" s="3">
        <f>($D153*$E153)*0.002</f>
        <v>92.92</v>
      </c>
      <c r="G153" s="3">
        <f>$F153*0.07</f>
        <v>6.5044</v>
      </c>
      <c r="H153" s="3">
        <f>IF($C153="BUY",(($D153*$E153)+$F153+$G153)*(-1),IF($C153="SELL",($D153*$E153)-$F153-$G153))</f>
        <v>46360.575600000004</v>
      </c>
      <c r="J153" s="29">
        <f>SUM(H114,H118,H138,H142,H145,H146,H150,H151,H153,)</f>
        <v>4761.324799999995</v>
      </c>
    </row>
    <row r="154" spans="2:8" ht="18.75">
      <c r="B154" s="8" t="s">
        <v>159</v>
      </c>
      <c r="C154" s="8" t="s">
        <v>16</v>
      </c>
      <c r="D154" s="9">
        <v>10000</v>
      </c>
      <c r="E154" s="3">
        <v>3.96</v>
      </c>
      <c r="F154" s="3">
        <f>($D154*$E154)*0.002</f>
        <v>79.2</v>
      </c>
      <c r="G154" s="3">
        <f>$F154*0.07</f>
        <v>5.5440000000000005</v>
      </c>
      <c r="H154" s="3">
        <f>IF($C154="BUY",(($D154*$E154)+$F154+$G154)*(-1),IF($C154="SELL",($D154*$E154)-$F154-$G154))</f>
        <v>-39684.744</v>
      </c>
    </row>
    <row r="155" spans="1:8" ht="19.5" thickBot="1">
      <c r="A155" s="10"/>
      <c r="B155" s="10"/>
      <c r="C155" s="10"/>
      <c r="D155" s="11"/>
      <c r="E155" s="12"/>
      <c r="F155" s="12"/>
      <c r="G155" s="38" t="s">
        <v>38</v>
      </c>
      <c r="H155" s="38">
        <f>SUM(H153:H154)</f>
        <v>6675.831600000005</v>
      </c>
    </row>
    <row r="156" spans="1:8" ht="18.75">
      <c r="A156" s="8" t="s">
        <v>196</v>
      </c>
      <c r="B156" s="8" t="s">
        <v>142</v>
      </c>
      <c r="C156" s="8" t="s">
        <v>16</v>
      </c>
      <c r="D156" s="9">
        <v>1000</v>
      </c>
      <c r="E156" s="3">
        <v>32</v>
      </c>
      <c r="F156" s="3">
        <f>($D156*$E156)*0.002</f>
        <v>64</v>
      </c>
      <c r="G156" s="3">
        <f>$F156*0.07</f>
        <v>4.48</v>
      </c>
      <c r="H156" s="3">
        <f>IF($C156="BUY",(($D156*$E156)+$F156+$G156)*(-1),IF($C156="SELL",($D156*$E156)-$F156-$G156))</f>
        <v>-32068.48</v>
      </c>
    </row>
    <row r="157" spans="1:8" ht="19.5" thickBot="1">
      <c r="A157" s="10"/>
      <c r="B157" s="10"/>
      <c r="C157" s="10"/>
      <c r="D157" s="11"/>
      <c r="E157" s="12"/>
      <c r="F157" s="12"/>
      <c r="G157" s="33" t="s">
        <v>14</v>
      </c>
      <c r="H157" s="33">
        <f>H156</f>
        <v>-32068.48</v>
      </c>
    </row>
    <row r="158" spans="1:8" ht="18.75">
      <c r="A158" s="8" t="s">
        <v>200</v>
      </c>
      <c r="B158" s="8" t="s">
        <v>142</v>
      </c>
      <c r="C158" s="8" t="s">
        <v>37</v>
      </c>
      <c r="D158" s="9">
        <v>2000</v>
      </c>
      <c r="E158" s="3">
        <v>31.75</v>
      </c>
      <c r="F158" s="3">
        <f>($D158*$E158)*0.002</f>
        <v>127</v>
      </c>
      <c r="G158" s="3">
        <f>$F158*0.07</f>
        <v>8.89</v>
      </c>
      <c r="H158" s="3">
        <f>IF($C158="BUY",(($D158*$E158)+$F158+$G158)*(-1),IF($C158="SELL",($D158*$E158)-$F158-$G158))</f>
        <v>63364.11</v>
      </c>
    </row>
    <row r="159" spans="2:10" ht="18.75">
      <c r="B159" s="8" t="s">
        <v>142</v>
      </c>
      <c r="C159" s="8" t="s">
        <v>37</v>
      </c>
      <c r="D159" s="9">
        <v>500</v>
      </c>
      <c r="E159" s="3">
        <v>32.25</v>
      </c>
      <c r="F159" s="3">
        <f>($D159*$E159)*0.002</f>
        <v>32.25</v>
      </c>
      <c r="G159" s="3">
        <f>$F159*0.07</f>
        <v>2.2575000000000003</v>
      </c>
      <c r="H159" s="3">
        <f>IF($C159="BUY",(($D159*$E159)+$F159+$G159)*(-1),IF($C159="SELL",($D159*$E159)-$F159-$G159))</f>
        <v>16090.4925</v>
      </c>
      <c r="J159" s="77">
        <f>SUM(H103,H121,H125,H127,H132,H133,H156,H158,H159,)</f>
        <v>-4787.062499999993</v>
      </c>
    </row>
    <row r="160" spans="2:10" ht="18.75">
      <c r="B160" s="8" t="s">
        <v>142</v>
      </c>
      <c r="C160" s="8" t="s">
        <v>16</v>
      </c>
      <c r="D160" s="9">
        <v>500</v>
      </c>
      <c r="E160" s="3">
        <v>32</v>
      </c>
      <c r="F160" s="3">
        <f>($D160*$E160)*0.002</f>
        <v>32</v>
      </c>
      <c r="G160" s="3">
        <f>$F160*0.07</f>
        <v>2.24</v>
      </c>
      <c r="H160" s="3">
        <f>IF($C160="BUY",(($D160*$E160)+$F160+$G160)*(-1),IF($C160="SELL",($D160*$E160)-$F160-$G160))</f>
        <v>-16034.24</v>
      </c>
      <c r="J160" s="4"/>
    </row>
    <row r="161" spans="1:8" ht="19.5" thickBot="1">
      <c r="A161" s="10"/>
      <c r="B161" s="10"/>
      <c r="C161" s="10"/>
      <c r="D161" s="11"/>
      <c r="E161" s="12"/>
      <c r="F161" s="12"/>
      <c r="G161" s="38" t="s">
        <v>38</v>
      </c>
      <c r="H161" s="38">
        <f>SUM(H158:H160)</f>
        <v>63420.36250000001</v>
      </c>
    </row>
    <row r="162" spans="1:10" ht="18.75">
      <c r="A162" s="8" t="s">
        <v>206</v>
      </c>
      <c r="B162" s="8" t="s">
        <v>142</v>
      </c>
      <c r="C162" s="8" t="s">
        <v>37</v>
      </c>
      <c r="D162" s="9">
        <v>500</v>
      </c>
      <c r="E162" s="3">
        <v>30.5</v>
      </c>
      <c r="F162" s="3">
        <f>($D162*$E162)*0.002</f>
        <v>30.5</v>
      </c>
      <c r="G162" s="3">
        <f>$F162*0.07</f>
        <v>2.1350000000000002</v>
      </c>
      <c r="H162" s="3">
        <f>IF($C162="BUY",(($D162*$E162)+$F162+$G162)*(-1),IF($C162="SELL",($D162*$E162)-$F162-$G162))</f>
        <v>15217.365</v>
      </c>
      <c r="J162" s="77">
        <f>SUM(H160,H162)</f>
        <v>-816.875</v>
      </c>
    </row>
    <row r="163" spans="2:8" ht="18.75">
      <c r="B163" s="8" t="s">
        <v>159</v>
      </c>
      <c r="C163" s="8" t="s">
        <v>37</v>
      </c>
      <c r="D163" s="9">
        <v>5000</v>
      </c>
      <c r="E163" s="3">
        <v>3.74</v>
      </c>
      <c r="F163" s="3">
        <f>($D163*$E163)*0.002</f>
        <v>37.4</v>
      </c>
      <c r="G163" s="3">
        <f>$F163*0.07</f>
        <v>2.6180000000000003</v>
      </c>
      <c r="H163" s="3">
        <f>IF($C163="BUY",(($D163*$E163)+$F163+$G163)*(-1),IF($C163="SELL",($D163*$E163)-$F163-$G163))</f>
        <v>18659.982</v>
      </c>
    </row>
    <row r="164" spans="2:10" ht="18.75">
      <c r="B164" s="8" t="s">
        <v>159</v>
      </c>
      <c r="C164" s="8" t="s">
        <v>37</v>
      </c>
      <c r="D164" s="9">
        <v>5000</v>
      </c>
      <c r="E164" s="3">
        <v>3.7</v>
      </c>
      <c r="F164" s="3">
        <f>($D164*$E164)*0.002</f>
        <v>37</v>
      </c>
      <c r="G164" s="3">
        <f>$F164*0.07</f>
        <v>2.5900000000000003</v>
      </c>
      <c r="H164" s="3">
        <f>IF($C164="BUY",(($D164*$E164)+$F164+$G164)*(-1),IF($C164="SELL",($D164*$E164)-$F164-$G164))</f>
        <v>18460.41</v>
      </c>
      <c r="J164" s="77">
        <f>SUM(H154,H163,H164,)</f>
        <v>-2564.351999999999</v>
      </c>
    </row>
    <row r="165" spans="1:8" ht="19.5" thickBot="1">
      <c r="A165" s="10"/>
      <c r="B165" s="10"/>
      <c r="C165" s="10"/>
      <c r="D165" s="11"/>
      <c r="E165" s="12"/>
      <c r="F165" s="12"/>
      <c r="G165" s="38" t="s">
        <v>38</v>
      </c>
      <c r="H165" s="38">
        <f>SUM(H162:H164)</f>
        <v>52337.757</v>
      </c>
    </row>
    <row r="166" spans="1:8" ht="18.75">
      <c r="A166" s="8" t="s">
        <v>220</v>
      </c>
      <c r="B166" s="8" t="s">
        <v>221</v>
      </c>
      <c r="C166" s="8" t="s">
        <v>16</v>
      </c>
      <c r="D166" s="9">
        <v>200000</v>
      </c>
      <c r="E166" s="3">
        <v>0.26</v>
      </c>
      <c r="F166" s="3">
        <f>($D166*$E166)*0.002</f>
        <v>104</v>
      </c>
      <c r="G166" s="3">
        <f>$F166*0.07</f>
        <v>7.280000000000001</v>
      </c>
      <c r="H166" s="3">
        <f>IF($C166="BUY",(($D166*$E166)+$F166+$G166)*(-1),IF($C166="SELL",($D166*$E166)-$F166-$G166))</f>
        <v>-52111.28</v>
      </c>
    </row>
    <row r="167" spans="2:10" ht="18.75">
      <c r="B167" s="8" t="s">
        <v>221</v>
      </c>
      <c r="C167" s="8" t="s">
        <v>37</v>
      </c>
      <c r="D167" s="9">
        <v>100000</v>
      </c>
      <c r="E167" s="3">
        <v>0.25</v>
      </c>
      <c r="F167" s="3">
        <f>($D167*$E167)*0.002</f>
        <v>50</v>
      </c>
      <c r="G167" s="3">
        <f>$F167*0.07</f>
        <v>3.5000000000000004</v>
      </c>
      <c r="H167" s="3">
        <f>IF($C167="BUY",(($D167*$E167)+$F167+$G167)*(-1),IF($C167="SELL",($D167*$E167)-$F167-$G167))</f>
        <v>24946.5</v>
      </c>
      <c r="J167" s="77">
        <f>SUM(H166:H167,H169)</f>
        <v>-2218.279999999999</v>
      </c>
    </row>
    <row r="168" spans="1:8" ht="19.5" thickBot="1">
      <c r="A168" s="10"/>
      <c r="B168" s="10"/>
      <c r="C168" s="10"/>
      <c r="D168" s="11"/>
      <c r="E168" s="12"/>
      <c r="F168" s="12"/>
      <c r="G168" s="33" t="s">
        <v>14</v>
      </c>
      <c r="H168" s="33">
        <f>SUM(H166:H167)</f>
        <v>-27164.78</v>
      </c>
    </row>
    <row r="169" spans="1:8" ht="18.75">
      <c r="A169" s="8" t="s">
        <v>224</v>
      </c>
      <c r="B169" s="8" t="s">
        <v>221</v>
      </c>
      <c r="C169" s="8" t="s">
        <v>37</v>
      </c>
      <c r="D169" s="9">
        <v>100000</v>
      </c>
      <c r="E169" s="3">
        <v>0.25</v>
      </c>
      <c r="F169" s="3">
        <f>($D169*$E169)*0.002</f>
        <v>50</v>
      </c>
      <c r="G169" s="3">
        <f>$F169*0.07</f>
        <v>3.5000000000000004</v>
      </c>
      <c r="H169" s="3">
        <f>IF($C169="BUY",(($D169*$E169)+$F169+$G169)*(-1),IF($C169="SELL",($D169*$E169)-$F169-$G169))</f>
        <v>24946.5</v>
      </c>
    </row>
    <row r="170" spans="2:8" ht="18.75">
      <c r="B170" s="8" t="s">
        <v>225</v>
      </c>
      <c r="C170" s="8" t="s">
        <v>16</v>
      </c>
      <c r="D170" s="9">
        <v>2000</v>
      </c>
      <c r="E170" s="3">
        <v>36.75</v>
      </c>
      <c r="F170" s="3">
        <f>($D170*$E170)*0.002</f>
        <v>147</v>
      </c>
      <c r="G170" s="3">
        <f>$F170*0.07</f>
        <v>10.290000000000001</v>
      </c>
      <c r="H170" s="3">
        <f>IF($C170="BUY",(($D170*$E170)+$F170+$G170)*(-1),IF($C170="SELL",($D170*$E170)-$F170-$G170))</f>
        <v>-73657.29</v>
      </c>
    </row>
    <row r="171" spans="1:8" ht="19.5" thickBot="1">
      <c r="A171" s="10"/>
      <c r="B171" s="10"/>
      <c r="C171" s="10"/>
      <c r="D171" s="11"/>
      <c r="E171" s="12"/>
      <c r="F171" s="12"/>
      <c r="G171" s="33" t="s">
        <v>14</v>
      </c>
      <c r="H171" s="33">
        <f>SUM(H169:H170)</f>
        <v>-48710.78999999999</v>
      </c>
    </row>
    <row r="172" spans="1:10" ht="18.75">
      <c r="A172" s="8" t="s">
        <v>230</v>
      </c>
      <c r="B172" s="8" t="s">
        <v>229</v>
      </c>
      <c r="C172" s="8" t="s">
        <v>16</v>
      </c>
      <c r="D172" s="9">
        <v>2000</v>
      </c>
      <c r="E172" s="3">
        <v>32.5</v>
      </c>
      <c r="F172" s="3">
        <f>($D172*$E172)*0.002</f>
        <v>130</v>
      </c>
      <c r="G172" s="3">
        <f>$F172*0.07</f>
        <v>9.100000000000001</v>
      </c>
      <c r="H172" s="3">
        <f>IF($C172="BUY",(($D172*$E172)+$F172+$G172)*(-1),IF($C172="SELL",($D172*$E172)-$F172-$G172))</f>
        <v>-65139.1</v>
      </c>
      <c r="J172" s="4"/>
    </row>
    <row r="173" spans="2:8" ht="18.75">
      <c r="B173" s="8" t="s">
        <v>225</v>
      </c>
      <c r="C173" s="8" t="s">
        <v>37</v>
      </c>
      <c r="D173" s="9">
        <v>200</v>
      </c>
      <c r="E173" s="3">
        <v>32</v>
      </c>
      <c r="F173" s="3">
        <f>($D173*$E173)*0.002</f>
        <v>12.8</v>
      </c>
      <c r="G173" s="3">
        <f>$F173*0.07</f>
        <v>0.8960000000000001</v>
      </c>
      <c r="H173" s="3">
        <f>IF($C173="BUY",(($D173*$E173)+$F173+$G173)*(-1),IF($C173="SELL",($D173*$E173)-$F173-$G173))</f>
        <v>6386.304</v>
      </c>
    </row>
    <row r="174" spans="1:8" ht="19.5" thickBot="1">
      <c r="A174" s="10"/>
      <c r="B174" s="10"/>
      <c r="C174" s="10"/>
      <c r="D174" s="11"/>
      <c r="E174" s="12"/>
      <c r="F174" s="12"/>
      <c r="G174" s="33" t="s">
        <v>14</v>
      </c>
      <c r="H174" s="33">
        <f>SUM(H172:H173)</f>
        <v>-58752.796</v>
      </c>
    </row>
    <row r="175" spans="1:8" ht="18.75">
      <c r="A175" s="8" t="s">
        <v>232</v>
      </c>
      <c r="B175" s="8" t="s">
        <v>225</v>
      </c>
      <c r="C175" s="8" t="s">
        <v>37</v>
      </c>
      <c r="D175" s="9">
        <v>1000</v>
      </c>
      <c r="E175" s="3">
        <v>33</v>
      </c>
      <c r="F175" s="3">
        <f>($D175*$E175)*0.002</f>
        <v>66</v>
      </c>
      <c r="G175" s="3">
        <f>$F175*0.07</f>
        <v>4.62</v>
      </c>
      <c r="H175" s="3">
        <f>IF($C175="BUY",(($D175*$E175)+$F175+$G175)*(-1),IF($C175="SELL",($D175*$E175)-$F175-$G175))</f>
        <v>32929.38</v>
      </c>
    </row>
    <row r="176" spans="1:8" ht="19.5" thickBot="1">
      <c r="A176" s="10"/>
      <c r="B176" s="10"/>
      <c r="C176" s="10"/>
      <c r="D176" s="11"/>
      <c r="E176" s="12"/>
      <c r="F176" s="12"/>
      <c r="G176" s="38" t="s">
        <v>38</v>
      </c>
      <c r="H176" s="38">
        <f>H175</f>
        <v>32929.38</v>
      </c>
    </row>
    <row r="177" spans="1:8" ht="18.75">
      <c r="A177" s="8" t="s">
        <v>239</v>
      </c>
      <c r="B177" s="8" t="s">
        <v>225</v>
      </c>
      <c r="C177" s="8" t="s">
        <v>16</v>
      </c>
      <c r="D177" s="9">
        <v>100</v>
      </c>
      <c r="E177" s="3">
        <v>31.5</v>
      </c>
      <c r="F177" s="3">
        <f>($D177*$E177)*0.002</f>
        <v>6.3</v>
      </c>
      <c r="G177" s="3">
        <f>$F177*0.07</f>
        <v>0.441</v>
      </c>
      <c r="H177" s="3">
        <f>IF($C177="BUY",(($D177*$E177)+$F177+$G177)*(-1),IF($C177="SELL",($D177*$E177)-$F177-$G177))</f>
        <v>-3156.741</v>
      </c>
    </row>
    <row r="178" spans="2:10" ht="18.75">
      <c r="B178" s="8" t="s">
        <v>225</v>
      </c>
      <c r="C178" s="8" t="s">
        <v>16</v>
      </c>
      <c r="D178" s="9">
        <v>1500</v>
      </c>
      <c r="E178" s="3">
        <v>30.25</v>
      </c>
      <c r="F178" s="3">
        <f>($D178*$E178)*0.002</f>
        <v>90.75</v>
      </c>
      <c r="G178" s="3">
        <f>$F178*0.07</f>
        <v>6.352500000000001</v>
      </c>
      <c r="H178" s="3">
        <f>IF($C178="BUY",(($D178*$E178)+$F178+$G178)*(-1),IF($C178="SELL",($D178*$E178)-$F178-$G178))</f>
        <v>-45472.1025</v>
      </c>
      <c r="J178" s="92"/>
    </row>
    <row r="179" spans="2:10" ht="18.75">
      <c r="B179" s="8" t="s">
        <v>225</v>
      </c>
      <c r="C179" s="8" t="s">
        <v>37</v>
      </c>
      <c r="D179" s="9">
        <v>1500</v>
      </c>
      <c r="E179" s="3">
        <v>30.5</v>
      </c>
      <c r="F179" s="3">
        <f>($D179*$E179)*0.002</f>
        <v>91.5</v>
      </c>
      <c r="G179" s="3">
        <f>$F179*0.07</f>
        <v>6.405</v>
      </c>
      <c r="H179" s="3">
        <f>IF($C179="BUY",(($D179*$E179)+$F179+$G179)*(-1),IF($C179="SELL",($D179*$E179)-$F179-$G179))</f>
        <v>45652.095</v>
      </c>
      <c r="J179" s="93">
        <f>SUM(H178:H179)</f>
        <v>179.9925000000003</v>
      </c>
    </row>
    <row r="180" spans="2:8" ht="18.75">
      <c r="B180" s="8" t="s">
        <v>225</v>
      </c>
      <c r="C180" s="8" t="s">
        <v>16</v>
      </c>
      <c r="D180" s="9">
        <v>1500</v>
      </c>
      <c r="E180" s="3">
        <v>30.25</v>
      </c>
      <c r="F180" s="3">
        <f>($D180*$E180)*0.002</f>
        <v>90.75</v>
      </c>
      <c r="G180" s="3">
        <f>$F180*0.07</f>
        <v>6.352500000000001</v>
      </c>
      <c r="H180" s="3">
        <f>IF($C180="BUY",(($D180*$E180)+$F180+$G180)*(-1),IF($C180="SELL",($D180*$E180)-$F180-$G180))</f>
        <v>-45472.1025</v>
      </c>
    </row>
    <row r="181" spans="2:8" ht="18.75">
      <c r="B181" s="8" t="s">
        <v>225</v>
      </c>
      <c r="C181" s="8" t="s">
        <v>37</v>
      </c>
      <c r="D181" s="9">
        <v>500</v>
      </c>
      <c r="E181" s="3">
        <v>29.5</v>
      </c>
      <c r="F181" s="3">
        <f>($D181*$E181)*0.002</f>
        <v>29.5</v>
      </c>
      <c r="G181" s="3">
        <f>$F181*0.07</f>
        <v>2.0650000000000004</v>
      </c>
      <c r="H181" s="3">
        <f>IF($C181="BUY",(($D181*$E181)+$F181+$G181)*(-1),IF($C181="SELL",($D181*$E181)-$F181-$G181))</f>
        <v>14718.435</v>
      </c>
    </row>
    <row r="182" spans="1:8" ht="19.5" thickBot="1">
      <c r="A182" s="10"/>
      <c r="B182" s="10"/>
      <c r="C182" s="10"/>
      <c r="D182" s="11"/>
      <c r="E182" s="12"/>
      <c r="F182" s="12"/>
      <c r="G182" s="33" t="s">
        <v>14</v>
      </c>
      <c r="H182" s="33">
        <f>SUM(H177:H181)</f>
        <v>-33730.416000000005</v>
      </c>
    </row>
    <row r="183" spans="1:8" ht="18.75">
      <c r="A183" s="8" t="s">
        <v>246</v>
      </c>
      <c r="B183" s="8" t="s">
        <v>225</v>
      </c>
      <c r="C183" s="8" t="s">
        <v>37</v>
      </c>
      <c r="D183" s="9">
        <v>1500</v>
      </c>
      <c r="E183" s="3">
        <v>30.75</v>
      </c>
      <c r="F183" s="3">
        <f>($D183*$E183)*0.002</f>
        <v>92.25</v>
      </c>
      <c r="G183" s="3">
        <f>$F183*0.07</f>
        <v>6.4575000000000005</v>
      </c>
      <c r="H183" s="3">
        <f>IF($C183="BUY",(($D183*$E183)+$F183+$G183)*(-1),IF($C183="SELL",($D183*$E183)-$F183-$G183))</f>
        <v>46026.2925</v>
      </c>
    </row>
    <row r="184" spans="2:8" ht="18.75">
      <c r="B184" s="8" t="s">
        <v>225</v>
      </c>
      <c r="C184" s="8" t="s">
        <v>16</v>
      </c>
      <c r="D184" s="9">
        <v>1000</v>
      </c>
      <c r="E184" s="3">
        <v>30.5</v>
      </c>
      <c r="F184" s="3">
        <f>($D184*$E184)*0.002</f>
        <v>61</v>
      </c>
      <c r="G184" s="3">
        <f>$F184*0.07</f>
        <v>4.2700000000000005</v>
      </c>
      <c r="H184" s="3">
        <f>IF($C184="BUY",(($D184*$E184)+$F184+$G184)*(-1),IF($C184="SELL",($D184*$E184)-$F184-$G184))</f>
        <v>-30565.27</v>
      </c>
    </row>
    <row r="185" spans="1:8" ht="19.5" thickBot="1">
      <c r="A185" s="10"/>
      <c r="B185" s="10"/>
      <c r="C185" s="10"/>
      <c r="D185" s="11"/>
      <c r="E185" s="12"/>
      <c r="F185" s="12"/>
      <c r="G185" s="38" t="s">
        <v>38</v>
      </c>
      <c r="H185" s="38">
        <f>SUM(H183:H184)</f>
        <v>15461.022500000003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24" sqref="H24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205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/>
      <c r="B3" s="51"/>
      <c r="C3" s="55"/>
      <c r="D3" s="52"/>
      <c r="E3" s="52"/>
      <c r="F3" s="53"/>
      <c r="G3" s="52"/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0</v>
      </c>
      <c r="F10" s="59">
        <f>SUM($F3:$F9)</f>
        <v>0</v>
      </c>
      <c r="G10" s="56">
        <f>SUM($G3:$G9)</f>
        <v>0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94174.82910000003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52337.757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146512.58610000001</v>
      </c>
      <c r="F17" s="59">
        <f>$E17/$E$19</f>
        <v>1</v>
      </c>
      <c r="G17" s="83">
        <v>37694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146512.58610000001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</f>
        <v>14244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10.285915901432183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v>3323.5</v>
      </c>
    </row>
    <row r="24" spans="1:5" ht="15" customHeight="1">
      <c r="A24" s="106" t="s">
        <v>191</v>
      </c>
      <c r="B24" s="106"/>
      <c r="C24" s="90"/>
      <c r="D24" s="90"/>
      <c r="E24" s="84">
        <v>30754.466600000018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34077.966600000014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149836.08610000001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22" sqref="G22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208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/>
      <c r="B3" s="51"/>
      <c r="C3" s="55"/>
      <c r="D3" s="52"/>
      <c r="E3" s="52"/>
      <c r="F3" s="53"/>
      <c r="G3" s="52"/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0</v>
      </c>
      <c r="F10" s="59">
        <f>SUM($F3:$F9)</f>
        <v>0</v>
      </c>
      <c r="G10" s="56">
        <f>SUM($G3:$G9)</f>
        <v>0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146512.58610000001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146512.58610000001</v>
      </c>
      <c r="F17" s="59">
        <f>$E17/$E$19</f>
        <v>1</v>
      </c>
      <c r="G17" s="83">
        <v>37697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146512.58610000001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</f>
        <v>14244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10.285915901432183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v>3323.5</v>
      </c>
    </row>
    <row r="24" spans="1:5" ht="15" customHeight="1">
      <c r="A24" s="106" t="s">
        <v>191</v>
      </c>
      <c r="B24" s="106"/>
      <c r="C24" s="90"/>
      <c r="D24" s="90"/>
      <c r="E24" s="84">
        <v>94174.82910000003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97498.32910000003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149836.08610000001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210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/>
      <c r="B3" s="51"/>
      <c r="C3" s="55"/>
      <c r="D3" s="52"/>
      <c r="E3" s="52"/>
      <c r="F3" s="53"/>
      <c r="G3" s="52"/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0</v>
      </c>
      <c r="F10" s="59">
        <f>SUM($F3:$F9)</f>
        <v>0</v>
      </c>
      <c r="G10" s="56">
        <f>SUM($G3:$G9)</f>
        <v>0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146512.58610000001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-5000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141512.58610000001</v>
      </c>
      <c r="F17" s="59">
        <f>$E17/$E$19</f>
        <v>1</v>
      </c>
      <c r="G17" s="83">
        <v>37698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141512.58610000001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</f>
        <v>13758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10.285839954935312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</f>
        <v>-676.5</v>
      </c>
    </row>
    <row r="24" spans="1:5" ht="15" customHeight="1">
      <c r="A24" s="106" t="s">
        <v>191</v>
      </c>
      <c r="B24" s="106"/>
      <c r="C24" s="90"/>
      <c r="D24" s="90"/>
      <c r="E24" s="84">
        <v>94174.82910000003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93498.32910000003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140836.08610000001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212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/>
      <c r="B3" s="51"/>
      <c r="C3" s="55"/>
      <c r="D3" s="52"/>
      <c r="E3" s="52"/>
      <c r="F3" s="53"/>
      <c r="G3" s="52"/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0</v>
      </c>
      <c r="F10" s="59">
        <f>SUM($F3:$F9)</f>
        <v>0</v>
      </c>
      <c r="G10" s="56">
        <f>SUM($G3:$G9)</f>
        <v>0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141512.58610000001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141512.58610000001</v>
      </c>
      <c r="F17" s="59">
        <f>$E17/$E$19</f>
        <v>1</v>
      </c>
      <c r="G17" s="83">
        <v>37699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141512.58610000001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</f>
        <v>13758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10.285839954935312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</f>
        <v>-676.5</v>
      </c>
    </row>
    <row r="24" spans="1:5" ht="15" customHeight="1">
      <c r="A24" s="106" t="s">
        <v>191</v>
      </c>
      <c r="B24" s="106"/>
      <c r="C24" s="90"/>
      <c r="D24" s="90"/>
      <c r="E24" s="84">
        <v>146512.58610000001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145836.08610000001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140836.08610000001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3" sqref="E23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214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/>
      <c r="B3" s="51"/>
      <c r="C3" s="55"/>
      <c r="D3" s="52"/>
      <c r="E3" s="52"/>
      <c r="F3" s="53"/>
      <c r="G3" s="52"/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0</v>
      </c>
      <c r="F10" s="59">
        <f>SUM($F3:$F9)</f>
        <v>0</v>
      </c>
      <c r="G10" s="56">
        <f>SUM($G3:$G9)</f>
        <v>0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141512.58610000001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141512.58610000001</v>
      </c>
      <c r="F17" s="59">
        <f>$E17/$E$19</f>
        <v>1</v>
      </c>
      <c r="G17" s="83">
        <v>37700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141512.58610000001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</f>
        <v>13758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10.285839954935312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</f>
        <v>-2176.5</v>
      </c>
    </row>
    <row r="24" spans="1:5" ht="15" customHeight="1">
      <c r="A24" s="106" t="s">
        <v>191</v>
      </c>
      <c r="B24" s="106"/>
      <c r="C24" s="90"/>
      <c r="D24" s="90"/>
      <c r="E24" s="84">
        <v>146512.58610000001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144336.08610000001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139336.08610000001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3" sqref="E23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216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/>
      <c r="B3" s="51"/>
      <c r="C3" s="55"/>
      <c r="D3" s="52"/>
      <c r="E3" s="52"/>
      <c r="F3" s="53"/>
      <c r="G3" s="52"/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0</v>
      </c>
      <c r="F10" s="59">
        <f>SUM($F3:$F9)</f>
        <v>0</v>
      </c>
      <c r="G10" s="56">
        <f>SUM($G3:$G9)</f>
        <v>0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141512.58610000001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141512.58610000001</v>
      </c>
      <c r="F17" s="59">
        <f>$E17/$E$19</f>
        <v>1</v>
      </c>
      <c r="G17" s="83">
        <v>37701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141512.58610000001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</f>
        <v>13758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10.285839954935312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</f>
        <v>2823.5</v>
      </c>
    </row>
    <row r="24" spans="1:5" ht="15" customHeight="1">
      <c r="A24" s="106" t="s">
        <v>191</v>
      </c>
      <c r="B24" s="106"/>
      <c r="C24" s="90"/>
      <c r="D24" s="90"/>
      <c r="E24" s="84">
        <v>141512.58610000001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144336.08610000001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144336.08610000001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3" sqref="E23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218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/>
      <c r="B3" s="51"/>
      <c r="C3" s="55"/>
      <c r="D3" s="52"/>
      <c r="E3" s="52"/>
      <c r="F3" s="53"/>
      <c r="G3" s="52"/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0</v>
      </c>
      <c r="F10" s="59">
        <f>SUM($F3:$F9)</f>
        <v>0</v>
      </c>
      <c r="G10" s="56">
        <f>SUM($G3:$G9)</f>
        <v>0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141512.58610000001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141512.58610000001</v>
      </c>
      <c r="F17" s="59">
        <f>$E17/$E$19</f>
        <v>1</v>
      </c>
      <c r="G17" s="83">
        <v>37704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141512.58610000001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</f>
        <v>13758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10.285839954935312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</f>
        <v>2823.5</v>
      </c>
    </row>
    <row r="24" spans="1:5" ht="15" customHeight="1">
      <c r="A24" s="106" t="s">
        <v>191</v>
      </c>
      <c r="B24" s="106"/>
      <c r="C24" s="90"/>
      <c r="D24" s="90"/>
      <c r="E24" s="84">
        <v>141512.58610000001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144336.08610000001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144336.08610000001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222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221</v>
      </c>
      <c r="B3" s="51">
        <v>100000</v>
      </c>
      <c r="C3" s="55">
        <f>-'Tran.'!$H$166/200000</f>
        <v>0.2605564</v>
      </c>
      <c r="D3" s="52">
        <v>0.25</v>
      </c>
      <c r="E3" s="52">
        <f>$B3*$D3</f>
        <v>25000</v>
      </c>
      <c r="F3" s="53">
        <f>$E3/$E$19</f>
        <v>0.1794072020198099</v>
      </c>
      <c r="G3" s="52">
        <f>$E3-($B3*$C3)</f>
        <v>-1055.640000000003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25000</v>
      </c>
      <c r="F10" s="59">
        <f>SUM($F3:$F9)</f>
        <v>0.1794072020198099</v>
      </c>
      <c r="G10" s="56">
        <f>SUM($G3:$G9)</f>
        <v>-1055.640000000003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141512.58610000001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-27164.78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114347.80610000002</v>
      </c>
      <c r="F17" s="59">
        <f>$E17/$E$19</f>
        <v>0.8205927979801901</v>
      </c>
      <c r="G17" s="83">
        <v>37705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139347.80610000002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</f>
        <v>13758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10.128492956825122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</f>
        <v>1320.5</v>
      </c>
    </row>
    <row r="24" spans="1:5" ht="15" customHeight="1">
      <c r="A24" s="106" t="s">
        <v>191</v>
      </c>
      <c r="B24" s="106"/>
      <c r="C24" s="90"/>
      <c r="D24" s="90"/>
      <c r="E24" s="84">
        <v>141512.58610000001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142833.08610000001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140668.30610000002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226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225</v>
      </c>
      <c r="B3" s="51">
        <v>2000</v>
      </c>
      <c r="C3" s="55">
        <f>-'Tran.'!$H$170/2000</f>
        <v>36.828644999999995</v>
      </c>
      <c r="D3" s="52">
        <v>35.5</v>
      </c>
      <c r="E3" s="52">
        <f>$B3*$D3</f>
        <v>71000</v>
      </c>
      <c r="F3" s="53">
        <f>$E3/$E$19</f>
        <v>0.5196249305388629</v>
      </c>
      <c r="G3" s="52">
        <f>$E3-($B3*$C3)</f>
        <v>-2657.2899999999936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71000</v>
      </c>
      <c r="F10" s="59">
        <f>SUM($F3:$F9)</f>
        <v>0.5196249305388629</v>
      </c>
      <c r="G10" s="56">
        <f>SUM($G3:$G9)</f>
        <v>-2657.2899999999936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114347.80610000002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-48710.79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65637.01610000001</v>
      </c>
      <c r="F17" s="59">
        <f>$E17/$E$19</f>
        <v>0.48037506946113706</v>
      </c>
      <c r="G17" s="83">
        <v>37706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136637.0161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</f>
        <v>13758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9.931459230992877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</f>
        <v>1320.5</v>
      </c>
    </row>
    <row r="24" spans="1:5" ht="15" customHeight="1">
      <c r="A24" s="106" t="s">
        <v>191</v>
      </c>
      <c r="B24" s="106"/>
      <c r="C24" s="90"/>
      <c r="D24" s="90"/>
      <c r="E24" s="84">
        <v>141512.58610000001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142833.08610000001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137957.5161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H8" sqref="H8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228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225</v>
      </c>
      <c r="B3" s="51">
        <v>3800</v>
      </c>
      <c r="C3" s="55">
        <f>-('Tran.'!$H$170+'Tran.'!$H$172)/4000</f>
        <v>34.69909749999999</v>
      </c>
      <c r="D3" s="52">
        <v>32</v>
      </c>
      <c r="E3" s="52">
        <f>$B3*$D3</f>
        <v>121600</v>
      </c>
      <c r="F3" s="53">
        <f>$E3/$E$19</f>
        <v>0.946419723024026</v>
      </c>
      <c r="G3" s="52">
        <f>$E3-($B3*$C3)</f>
        <v>-10256.570499999973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121600</v>
      </c>
      <c r="F10" s="59">
        <f>SUM($F3:$F9)</f>
        <v>0.946419723024026</v>
      </c>
      <c r="G10" s="56">
        <f>SUM($G3:$G9)</f>
        <v>-10256.570499999973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65637.01610000001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-58752.796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6884.220100000006</v>
      </c>
      <c r="F17" s="59">
        <f>$E17/$E$19</f>
        <v>0.053580276975974</v>
      </c>
      <c r="G17" s="83">
        <v>37707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128484.2201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</f>
        <v>13758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9.33887339002762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3323.5-4000-1500+5000-1503-500</f>
        <v>820.5</v>
      </c>
    </row>
    <row r="24" spans="1:5" ht="15" customHeight="1">
      <c r="A24" s="106" t="s">
        <v>191</v>
      </c>
      <c r="B24" s="106"/>
      <c r="C24" s="90"/>
      <c r="D24" s="90"/>
      <c r="E24" s="84">
        <v>141512.58610000001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142333.08610000001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129304.7201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26" sqref="B26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9.14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3" t="s">
        <v>181</v>
      </c>
      <c r="B1" s="103"/>
      <c r="C1" s="103"/>
      <c r="D1" s="103"/>
      <c r="E1" s="103"/>
      <c r="F1" s="103"/>
      <c r="G1" s="103"/>
    </row>
    <row r="2" spans="1:7" s="86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86" customFormat="1" ht="15" customHeight="1">
      <c r="A3" s="50" t="s">
        <v>159</v>
      </c>
      <c r="B3" s="51">
        <v>20000</v>
      </c>
      <c r="C3" s="52">
        <f>((-'Tran.'!$H$143)+(10000*3.71))/20000</f>
        <v>3.7490445999999995</v>
      </c>
      <c r="D3" s="52">
        <v>3.78</v>
      </c>
      <c r="E3" s="52">
        <f>$B3*$D3</f>
        <v>75600</v>
      </c>
      <c r="F3" s="53">
        <f>$E3/$E$19</f>
        <v>0.4996502563865075</v>
      </c>
      <c r="G3" s="52">
        <f>$E3-($B3*$C3)</f>
        <v>619.1080000000075</v>
      </c>
      <c r="I3" s="87"/>
    </row>
    <row r="4" spans="1:9" s="86" customFormat="1" ht="15" customHeight="1">
      <c r="A4" s="50" t="s">
        <v>142</v>
      </c>
      <c r="B4" s="51">
        <v>1500</v>
      </c>
      <c r="C4" s="55">
        <f>((-'Tran.'!$H$133)+(36.578*500))/1500</f>
        <v>35.07486333333333</v>
      </c>
      <c r="D4" s="52">
        <v>31.25</v>
      </c>
      <c r="E4" s="52">
        <f>$B4*$D4</f>
        <v>46875</v>
      </c>
      <c r="F4" s="53">
        <f>$E4/$E$19</f>
        <v>0.3098029863507611</v>
      </c>
      <c r="G4" s="52">
        <f>$E4-($B4*$C4)</f>
        <v>-5737.294999999998</v>
      </c>
      <c r="I4" s="87"/>
    </row>
    <row r="5" spans="1:9" s="86" customFormat="1" ht="15" customHeight="1">
      <c r="A5" s="50" t="s">
        <v>32</v>
      </c>
      <c r="B5" s="51">
        <v>500</v>
      </c>
      <c r="C5" s="55">
        <f>-'Tran.'!$H$130/500</f>
        <v>37.07918</v>
      </c>
      <c r="D5" s="52">
        <v>37</v>
      </c>
      <c r="E5" s="52">
        <f>$B5*$D5</f>
        <v>18500</v>
      </c>
      <c r="F5" s="53">
        <f>$E5/$E$19</f>
        <v>0.12226891194643372</v>
      </c>
      <c r="G5" s="52">
        <f>$E5-($B5*$C5)</f>
        <v>-39.590000000000146</v>
      </c>
      <c r="I5" s="87"/>
    </row>
    <row r="6" spans="1:9" s="86" customFormat="1" ht="15" customHeight="1">
      <c r="A6" s="50"/>
      <c r="B6" s="51"/>
      <c r="C6" s="55"/>
      <c r="D6" s="52"/>
      <c r="E6" s="52"/>
      <c r="F6" s="53"/>
      <c r="G6" s="52"/>
      <c r="I6" s="87"/>
    </row>
    <row r="7" spans="1:9" s="86" customFormat="1" ht="15" customHeight="1">
      <c r="A7" s="50"/>
      <c r="B7" s="51"/>
      <c r="C7" s="55"/>
      <c r="D7" s="52"/>
      <c r="E7" s="52"/>
      <c r="F7" s="53"/>
      <c r="G7" s="52"/>
      <c r="I7" s="87"/>
    </row>
    <row r="8" spans="1:9" s="86" customFormat="1" ht="15" customHeight="1">
      <c r="A8" s="50"/>
      <c r="B8" s="51"/>
      <c r="C8" s="55"/>
      <c r="D8" s="52"/>
      <c r="E8" s="52"/>
      <c r="F8" s="53"/>
      <c r="G8" s="52"/>
      <c r="I8" s="87"/>
    </row>
    <row r="9" spans="1:7" s="86" customFormat="1" ht="15" customHeight="1">
      <c r="A9" s="50"/>
      <c r="B9" s="51"/>
      <c r="C9" s="52"/>
      <c r="D9" s="52"/>
      <c r="E9" s="56"/>
      <c r="F9" s="53"/>
      <c r="G9" s="56"/>
    </row>
    <row r="10" spans="1:7" s="86" customFormat="1" ht="15" customHeight="1">
      <c r="A10" s="104" t="s">
        <v>35</v>
      </c>
      <c r="B10" s="104"/>
      <c r="C10" s="57"/>
      <c r="D10" s="57"/>
      <c r="E10" s="58">
        <f>SUM($E3:$E9)</f>
        <v>140975</v>
      </c>
      <c r="F10" s="59">
        <f>SUM($F3:$F9)</f>
        <v>0.9317221546837023</v>
      </c>
      <c r="G10" s="56">
        <f>SUM($G3:$G9)</f>
        <v>-5157.776999999991</v>
      </c>
    </row>
    <row r="11" spans="1:7" s="86" customFormat="1" ht="15" customHeight="1">
      <c r="A11" s="49"/>
      <c r="B11" s="60"/>
      <c r="C11" s="61"/>
      <c r="D11" s="61"/>
      <c r="E11" s="61"/>
      <c r="F11" s="61"/>
      <c r="G11" s="61"/>
    </row>
    <row r="12" spans="1:7" s="86" customFormat="1" ht="15" customHeight="1">
      <c r="A12" s="100" t="s">
        <v>17</v>
      </c>
      <c r="B12" s="100"/>
      <c r="C12" s="52"/>
      <c r="D12" s="52"/>
      <c r="E12" s="52">
        <v>48211.72850000002</v>
      </c>
      <c r="F12" s="61"/>
      <c r="G12" s="61"/>
    </row>
    <row r="13" spans="1:7" s="86" customFormat="1" ht="15" customHeight="1">
      <c r="A13" s="62" t="s">
        <v>14</v>
      </c>
      <c r="B13" s="62"/>
      <c r="C13" s="52"/>
      <c r="D13" s="52"/>
      <c r="E13" s="52">
        <v>-37880.892</v>
      </c>
      <c r="F13" s="61"/>
      <c r="G13" s="61"/>
    </row>
    <row r="14" spans="1:7" s="86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86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86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86" customFormat="1" ht="15" customHeight="1">
      <c r="A17" s="101" t="s">
        <v>19</v>
      </c>
      <c r="B17" s="101"/>
      <c r="C17" s="63"/>
      <c r="D17" s="63"/>
      <c r="E17" s="58">
        <f>SUM($E12:$E16)</f>
        <v>10330.83650000002</v>
      </c>
      <c r="F17" s="59">
        <f>$E17/$E$19</f>
        <v>0.06827784531629762</v>
      </c>
      <c r="G17" s="83">
        <v>37684</v>
      </c>
    </row>
    <row r="18" spans="1:7" s="86" customFormat="1" ht="15" customHeight="1">
      <c r="A18" s="64"/>
      <c r="B18" s="64"/>
      <c r="C18" s="49"/>
      <c r="D18" s="49"/>
      <c r="E18" s="61"/>
      <c r="F18" s="49"/>
      <c r="G18" s="49"/>
    </row>
    <row r="19" spans="1:7" s="86" customFormat="1" ht="15" customHeight="1">
      <c r="A19" s="101" t="s">
        <v>20</v>
      </c>
      <c r="B19" s="101"/>
      <c r="C19" s="63"/>
      <c r="D19" s="63"/>
      <c r="E19" s="58">
        <f>SUM($E10,$E17)</f>
        <v>151305.83650000003</v>
      </c>
      <c r="F19" s="59">
        <f>SUM($F10,$F17)</f>
        <v>1</v>
      </c>
      <c r="G19" s="49"/>
    </row>
    <row r="20" spans="1:7" s="86" customFormat="1" ht="15" customHeight="1">
      <c r="A20" s="102" t="s">
        <v>33</v>
      </c>
      <c r="B20" s="102"/>
      <c r="C20" s="50"/>
      <c r="D20" s="50"/>
      <c r="E20" s="51">
        <f>13963-261-3868+3114+1772+191</f>
        <v>14911</v>
      </c>
      <c r="F20" s="49"/>
      <c r="G20" s="49"/>
    </row>
    <row r="21" spans="1:8" s="86" customFormat="1" ht="15" customHeight="1">
      <c r="A21" s="97" t="s">
        <v>34</v>
      </c>
      <c r="B21" s="97"/>
      <c r="C21" s="63"/>
      <c r="D21" s="63"/>
      <c r="E21" s="65">
        <f>E$19/E$20</f>
        <v>10.14726285963383</v>
      </c>
      <c r="F21" s="66"/>
      <c r="G21" s="78"/>
      <c r="H21" s="89"/>
    </row>
    <row r="22" spans="1:7" s="88" customFormat="1" ht="15" customHeight="1">
      <c r="A22" s="64"/>
      <c r="B22" s="64"/>
      <c r="C22" s="64"/>
      <c r="D22" s="64"/>
      <c r="E22" s="64"/>
      <c r="F22" s="64"/>
      <c r="G22" s="79"/>
    </row>
    <row r="23" spans="1:7" s="88" customFormat="1" ht="15" customHeight="1">
      <c r="A23" s="98" t="s">
        <v>155</v>
      </c>
      <c r="B23" s="98"/>
      <c r="C23" s="68"/>
      <c r="D23" s="68"/>
      <c r="E23" s="69">
        <f>2344.89-500-500-90-400-500-100-400</f>
        <v>-145.11000000000013</v>
      </c>
      <c r="F23" s="64"/>
      <c r="G23" s="64"/>
    </row>
    <row r="24" spans="1:7" s="88" customFormat="1" ht="15" customHeight="1">
      <c r="A24" s="99" t="s">
        <v>189</v>
      </c>
      <c r="B24" s="99"/>
      <c r="C24" s="70"/>
      <c r="D24" s="70"/>
      <c r="E24" s="71">
        <f>$E$19+$E$23</f>
        <v>151160.72650000005</v>
      </c>
      <c r="F24" s="64"/>
      <c r="G24" s="64"/>
    </row>
  </sheetData>
  <mergeCells count="11">
    <mergeCell ref="A1:G1"/>
    <mergeCell ref="A10:B10"/>
    <mergeCell ref="A12:B12"/>
    <mergeCell ref="A14:B14"/>
    <mergeCell ref="A21:B21"/>
    <mergeCell ref="A23:B23"/>
    <mergeCell ref="A24:B24"/>
    <mergeCell ref="A16:B16"/>
    <mergeCell ref="A17:B17"/>
    <mergeCell ref="A19:B19"/>
    <mergeCell ref="A20:B20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2" sqref="E22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233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225</v>
      </c>
      <c r="B3" s="51">
        <v>3800</v>
      </c>
      <c r="C3" s="55">
        <f>-('Tran.'!$H$170+'Tran.'!$H$172)/4000</f>
        <v>34.69909749999999</v>
      </c>
      <c r="D3" s="52">
        <v>32.25</v>
      </c>
      <c r="E3" s="52">
        <f>$B3*$D3</f>
        <v>122550</v>
      </c>
      <c r="F3" s="53">
        <f>$E3/$E$19</f>
        <v>0.9848577015351101</v>
      </c>
      <c r="G3" s="52">
        <f>$E3-($B3*$C3)</f>
        <v>-9306.570499999973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122550</v>
      </c>
      <c r="F10" s="59">
        <f>SUM($F3:$F9)</f>
        <v>0.9848577015351101</v>
      </c>
      <c r="G10" s="56">
        <f>SUM($G3:$G9)</f>
        <v>-9306.570499999973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6884.220100000006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-5000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1884.220100000006</v>
      </c>
      <c r="F17" s="59">
        <f>$E17/$E$19</f>
        <v>0.01514229846488993</v>
      </c>
      <c r="G17" s="83">
        <v>37708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124434.2201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13963-261-3868+3114+1772+191-195-472-486-535</f>
        <v>13223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9.410437880964986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3323.5-4000-1500+5000-1503-500</f>
        <v>820.5</v>
      </c>
    </row>
    <row r="24" spans="1:5" ht="15" customHeight="1">
      <c r="A24" s="106" t="s">
        <v>191</v>
      </c>
      <c r="B24" s="106"/>
      <c r="C24" s="90"/>
      <c r="D24" s="90"/>
      <c r="E24" s="84">
        <v>114347.80610000002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115168.30610000002</v>
      </c>
    </row>
    <row r="26" spans="1:5" ht="15" customHeight="1">
      <c r="A26" s="99" t="s">
        <v>189</v>
      </c>
      <c r="B26" s="99"/>
      <c r="C26" s="70"/>
      <c r="D26" s="70"/>
      <c r="E26" s="71">
        <f>$E$19+$E$23+5000</f>
        <v>130254.7201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234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225</v>
      </c>
      <c r="B3" s="51">
        <v>2800</v>
      </c>
      <c r="C3" s="55">
        <f>-('Tran.'!$H$170+'Tran.'!$H$172)/4000</f>
        <v>34.69909749999999</v>
      </c>
      <c r="D3" s="52">
        <v>32.5</v>
      </c>
      <c r="E3" s="52">
        <f>$B3*$D3</f>
        <v>91000</v>
      </c>
      <c r="F3" s="53">
        <f>$E3/$E$19</f>
        <v>0.7232922349227012</v>
      </c>
      <c r="G3" s="52">
        <f>$E3-($B3*$C3)</f>
        <v>-6157.472999999984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91000</v>
      </c>
      <c r="F10" s="59">
        <f>SUM($F3:$F9)</f>
        <v>0.7232922349227012</v>
      </c>
      <c r="G10" s="56">
        <f>SUM($G3:$G9)</f>
        <v>-6157.472999999984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1884.220100000006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32929.38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34813.6001</v>
      </c>
      <c r="F17" s="59">
        <f>$E17/$E$19</f>
        <v>0.27670776507729866</v>
      </c>
      <c r="G17" s="83">
        <v>37711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125813.60010000001</v>
      </c>
      <c r="F19" s="59">
        <f>SUM($F10,$F17)</f>
        <v>0.9999999999999999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13963-261-3868+3114+1772+191-195-472-486-535</f>
        <v>13223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9.514754601830145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3323.5-4000-1500+5000-1503-500-1000</f>
        <v>-179.5</v>
      </c>
    </row>
    <row r="24" spans="1:5" ht="15" customHeight="1">
      <c r="A24" s="106" t="s">
        <v>191</v>
      </c>
      <c r="B24" s="106"/>
      <c r="C24" s="90"/>
      <c r="D24" s="90"/>
      <c r="E24" s="84">
        <v>65637.01610000001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65457.51610000001</v>
      </c>
    </row>
    <row r="26" spans="1:5" ht="15" customHeight="1">
      <c r="A26" s="99" t="s">
        <v>189</v>
      </c>
      <c r="B26" s="99"/>
      <c r="C26" s="70"/>
      <c r="D26" s="70"/>
      <c r="E26" s="71">
        <f>$E$19+$E$23+5000</f>
        <v>130634.10010000001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235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225</v>
      </c>
      <c r="B3" s="51">
        <v>2800</v>
      </c>
      <c r="C3" s="55">
        <f>-('Tran.'!$H$170+'Tran.'!$H$172)/4000</f>
        <v>34.69909749999999</v>
      </c>
      <c r="D3" s="52">
        <v>32.5</v>
      </c>
      <c r="E3" s="52">
        <f>$B3*$D3</f>
        <v>91000</v>
      </c>
      <c r="F3" s="53">
        <f>$E3/$E$19</f>
        <v>0.7232922349227012</v>
      </c>
      <c r="G3" s="52">
        <f>$E3-($B3*$C3)</f>
        <v>-6157.472999999984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91000</v>
      </c>
      <c r="F10" s="59">
        <f>SUM($F3:$F9)</f>
        <v>0.7232922349227012</v>
      </c>
      <c r="G10" s="56">
        <f>SUM($G3:$G9)</f>
        <v>-6157.472999999984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34813.6001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34813.6001</v>
      </c>
      <c r="F17" s="59">
        <f>$E17/$E$19</f>
        <v>0.27670776507729866</v>
      </c>
      <c r="G17" s="83">
        <v>37712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125813.60010000001</v>
      </c>
      <c r="F19" s="59">
        <f>SUM($F10,$F17)</f>
        <v>0.9999999999999999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13963-261-3868+3114+1772+191-195-472-486-535</f>
        <v>13223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9.514754601830145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3323.5-4000-1500+5000-1503-500-1000</f>
        <v>-179.5</v>
      </c>
    </row>
    <row r="24" spans="1:5" ht="15" customHeight="1">
      <c r="A24" s="106" t="s">
        <v>191</v>
      </c>
      <c r="B24" s="106"/>
      <c r="C24" s="90"/>
      <c r="D24" s="90"/>
      <c r="E24" s="84">
        <v>6884.220100000006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6704.720100000006</v>
      </c>
    </row>
    <row r="26" spans="1:5" ht="15" customHeight="1">
      <c r="A26" s="99" t="s">
        <v>189</v>
      </c>
      <c r="B26" s="99"/>
      <c r="C26" s="70"/>
      <c r="D26" s="70"/>
      <c r="E26" s="71">
        <f>$E$19+$E$23+5000</f>
        <v>130634.10010000001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241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225</v>
      </c>
      <c r="B3" s="51">
        <v>2800</v>
      </c>
      <c r="C3" s="55">
        <f>-('Tran.'!$H$170+'Tran.'!$H$172)/4000</f>
        <v>34.69909749999999</v>
      </c>
      <c r="D3" s="52">
        <v>32.5</v>
      </c>
      <c r="E3" s="52">
        <f>$B3*$D3</f>
        <v>91000</v>
      </c>
      <c r="F3" s="53">
        <f>$E3/$E$19</f>
        <v>0.7232922349227012</v>
      </c>
      <c r="G3" s="52">
        <f>$E3-($B3*$C3)</f>
        <v>-6157.472999999984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91000</v>
      </c>
      <c r="F10" s="59">
        <f>SUM($F3:$F9)</f>
        <v>0.7232922349227012</v>
      </c>
      <c r="G10" s="56">
        <f>SUM($G3:$G9)</f>
        <v>-6157.472999999984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34813.6001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34813.6001</v>
      </c>
      <c r="F17" s="59">
        <f>$E17/$E$19</f>
        <v>0.27670776507729866</v>
      </c>
      <c r="G17" s="83">
        <v>37713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125813.60010000001</v>
      </c>
      <c r="F19" s="59">
        <f>SUM($F10,$F17)</f>
        <v>0.9999999999999999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13963-261-3868+3114+1772+191-195-472-486-535</f>
        <v>13223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9.514754601830145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3323.5-4000-1500+5000-1503-500-1000+5000</f>
        <v>4820.5</v>
      </c>
    </row>
    <row r="24" spans="1:5" ht="15" customHeight="1">
      <c r="A24" s="106" t="s">
        <v>191</v>
      </c>
      <c r="B24" s="106"/>
      <c r="C24" s="90"/>
      <c r="D24" s="90"/>
      <c r="E24" s="84">
        <v>6884.220100000006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11704.720100000006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130634.10010000001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240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225</v>
      </c>
      <c r="B3" s="51">
        <v>3900</v>
      </c>
      <c r="C3" s="55">
        <f>-((-34.7*2800)+'Tran.'!$H$177+'Tran.'!$H$180)/4400</f>
        <v>33.13382806818182</v>
      </c>
      <c r="D3" s="52">
        <v>29.5</v>
      </c>
      <c r="E3" s="52">
        <f>$B3*$D3</f>
        <v>115050</v>
      </c>
      <c r="F3" s="53">
        <f>$E3/$E$19</f>
        <v>0.9906729148228013</v>
      </c>
      <c r="G3" s="52">
        <f>$E3-($B3*$C3)</f>
        <v>-14171.929465909096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115050</v>
      </c>
      <c r="F10" s="59">
        <f>SUM($F3:$F9)</f>
        <v>0.9906729148228013</v>
      </c>
      <c r="G10" s="56">
        <f>SUM($G3:$G9)</f>
        <v>-14171.929465909096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8" s="49" customFormat="1" ht="15" customHeight="1">
      <c r="A12" s="100" t="s">
        <v>17</v>
      </c>
      <c r="B12" s="100"/>
      <c r="C12" s="52"/>
      <c r="D12" s="52"/>
      <c r="E12" s="52">
        <v>34813.6001</v>
      </c>
      <c r="F12" s="61"/>
      <c r="G12" s="61"/>
      <c r="H12" s="54"/>
    </row>
    <row r="13" spans="1:7" s="49" customFormat="1" ht="15" customHeight="1">
      <c r="A13" s="62" t="s">
        <v>14</v>
      </c>
      <c r="B13" s="62"/>
      <c r="C13" s="52"/>
      <c r="D13" s="52"/>
      <c r="E13" s="52">
        <v>-33730.416000000005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1083.1840999999986</v>
      </c>
      <c r="F17" s="59">
        <f>$E17/$E$19</f>
        <v>0.009327085177198708</v>
      </c>
      <c r="G17" s="83">
        <v>37714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116133.1841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13963-261-3868+3114+1772+191-195-472-486-535</f>
        <v>13223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8.782665363381986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3323.5-4000-1500+5000-1503-500-1000+5000</f>
        <v>4820.5</v>
      </c>
    </row>
    <row r="24" spans="1:5" ht="15" customHeight="1">
      <c r="A24" s="106" t="s">
        <v>191</v>
      </c>
      <c r="B24" s="106"/>
      <c r="C24" s="90"/>
      <c r="D24" s="90"/>
      <c r="E24" s="84">
        <v>34813.6001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39634.1001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120953.6841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18" sqref="G18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244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225</v>
      </c>
      <c r="B3" s="51">
        <v>3900</v>
      </c>
      <c r="C3" s="55">
        <f>-((-34.7*2800)+'Tran.'!$H$177+'Tran.'!$H$180)/4400</f>
        <v>33.13382806818182</v>
      </c>
      <c r="D3" s="52">
        <v>30</v>
      </c>
      <c r="E3" s="52">
        <f>$B3*$D3</f>
        <v>117000</v>
      </c>
      <c r="F3" s="53">
        <f>$E3/$E$19</f>
        <v>0.9908269402772651</v>
      </c>
      <c r="G3" s="52">
        <f>$E3-($B3*$C3)</f>
        <v>-12221.929465909096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117000</v>
      </c>
      <c r="F10" s="59">
        <f>SUM($F3:$F9)</f>
        <v>0.9908269402772651</v>
      </c>
      <c r="G10" s="56">
        <f>SUM($G3:$G9)</f>
        <v>-12221.929465909096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8" s="49" customFormat="1" ht="15" customHeight="1">
      <c r="A12" s="100" t="s">
        <v>17</v>
      </c>
      <c r="B12" s="100"/>
      <c r="C12" s="52"/>
      <c r="D12" s="52"/>
      <c r="E12" s="52">
        <v>1083.1840999999986</v>
      </c>
      <c r="F12" s="61"/>
      <c r="G12" s="61"/>
      <c r="H12" s="54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1083.1840999999986</v>
      </c>
      <c r="F17" s="59">
        <f>$E17/$E$19</f>
        <v>0.009173059722734887</v>
      </c>
      <c r="G17" s="83">
        <v>37715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118083.1841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13963-261-3868+3114+1772+191-195-472-486-535</f>
        <v>13223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8.930135680254102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3323.5-4000-1500+5000-1503-500-1000+5000</f>
        <v>4820.5</v>
      </c>
    </row>
    <row r="24" spans="1:5" ht="15" customHeight="1">
      <c r="A24" s="106" t="s">
        <v>191</v>
      </c>
      <c r="B24" s="106"/>
      <c r="C24" s="90"/>
      <c r="D24" s="90"/>
      <c r="E24" s="84">
        <v>34813.6001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39634.1001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122903.6841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1" sqref="E21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247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225</v>
      </c>
      <c r="B3" s="51">
        <v>3400</v>
      </c>
      <c r="C3" s="55">
        <f>-((-34.7*2800)+'Tran.'!$H$177+'Tran.'!$H$180)/4400</f>
        <v>33.13382806818182</v>
      </c>
      <c r="D3" s="52">
        <v>31</v>
      </c>
      <c r="E3" s="52">
        <f>$B3*$D3</f>
        <v>105400</v>
      </c>
      <c r="F3" s="53">
        <f>$E3/$E$19</f>
        <v>0.8643297040402409</v>
      </c>
      <c r="G3" s="52">
        <f>$E3-($B3*$C3)</f>
        <v>-7255.0154318181885</v>
      </c>
      <c r="I3" s="54"/>
    </row>
    <row r="4" spans="1:9" s="49" customFormat="1" ht="15" customHeight="1">
      <c r="A4" s="50"/>
      <c r="B4" s="51"/>
      <c r="C4" s="55"/>
      <c r="D4" s="52"/>
      <c r="E4" s="52"/>
      <c r="F4" s="53"/>
      <c r="G4" s="52"/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105400</v>
      </c>
      <c r="F10" s="59">
        <f>SUM($F3:$F9)</f>
        <v>0.8643297040402409</v>
      </c>
      <c r="G10" s="56">
        <f>SUM($G3:$G9)</f>
        <v>-7255.0154318181885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8" s="49" customFormat="1" ht="15" customHeight="1">
      <c r="A12" s="100" t="s">
        <v>17</v>
      </c>
      <c r="B12" s="100"/>
      <c r="C12" s="52"/>
      <c r="D12" s="52"/>
      <c r="E12" s="52">
        <v>1083.1840999999986</v>
      </c>
      <c r="F12" s="61"/>
      <c r="G12" s="61"/>
      <c r="H12" s="54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15461.022500000003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16544.2066</v>
      </c>
      <c r="F17" s="59">
        <f>$E17/$E$19</f>
        <v>0.13567029595975902</v>
      </c>
      <c r="G17" s="83">
        <v>37718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121944.2066</v>
      </c>
      <c r="F19" s="59">
        <f>SUM($F10,$F17)</f>
        <v>0.9999999999999999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13963-261-3868+3114+1772+191-195-472-486-535</f>
        <v>13223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9.222128609241473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3323.5-4000-1500+5000-1503-500-1000+5000</f>
        <v>4820.5</v>
      </c>
    </row>
    <row r="24" spans="1:5" ht="15" customHeight="1">
      <c r="A24" s="106" t="s">
        <v>191</v>
      </c>
      <c r="B24" s="106"/>
      <c r="C24" s="90"/>
      <c r="D24" s="90"/>
      <c r="E24" s="84">
        <v>34813.6001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39634.1001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126764.7066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pane xSplit="9" ySplit="2" topLeftCell="J96" activePane="bottomRight" state="frozen"/>
      <selection pane="topLeft" activeCell="A1" sqref="A1"/>
      <selection pane="topRight" activeCell="J1" sqref="J1"/>
      <selection pane="bottomLeft" activeCell="A3" sqref="A3"/>
      <selection pane="bottomRight" activeCell="M113" sqref="M113"/>
    </sheetView>
  </sheetViews>
  <sheetFormatPr defaultColWidth="9.140625" defaultRowHeight="21.75"/>
  <cols>
    <col min="1" max="1" width="6.57421875" style="16" customWidth="1"/>
    <col min="2" max="2" width="7.57421875" style="13" customWidth="1"/>
    <col min="3" max="3" width="8.140625" style="1" customWidth="1"/>
    <col min="4" max="4" width="8.00390625" style="6" customWidth="1"/>
    <col min="5" max="5" width="19.8515625" style="15" customWidth="1"/>
    <col min="6" max="6" width="7.7109375" style="3" customWidth="1"/>
    <col min="7" max="7" width="7.57421875" style="2" customWidth="1"/>
    <col min="8" max="8" width="7.7109375" style="6" customWidth="1"/>
    <col min="9" max="9" width="20.28125" style="15" customWidth="1"/>
    <col min="10" max="16384" width="9.140625" style="1" customWidth="1"/>
  </cols>
  <sheetData>
    <row r="1" spans="1:9" ht="21.75" thickBot="1">
      <c r="A1" s="107" t="s">
        <v>21</v>
      </c>
      <c r="B1" s="108"/>
      <c r="C1" s="108"/>
      <c r="D1" s="108"/>
      <c r="E1" s="108"/>
      <c r="F1" s="108"/>
      <c r="G1" s="108"/>
      <c r="H1" s="108"/>
      <c r="I1" s="109"/>
    </row>
    <row r="2" spans="1:9" s="17" customFormat="1" ht="22.5" customHeight="1" thickBot="1">
      <c r="A2" s="23" t="s">
        <v>0</v>
      </c>
      <c r="B2" s="24" t="s">
        <v>15</v>
      </c>
      <c r="C2" s="25" t="s">
        <v>22</v>
      </c>
      <c r="D2" s="26" t="s">
        <v>23</v>
      </c>
      <c r="E2" s="26" t="s">
        <v>26</v>
      </c>
      <c r="F2" s="27" t="s">
        <v>24</v>
      </c>
      <c r="G2" s="27" t="s">
        <v>22</v>
      </c>
      <c r="H2" s="28" t="s">
        <v>23</v>
      </c>
      <c r="I2" s="28" t="s">
        <v>26</v>
      </c>
    </row>
    <row r="3" spans="1:9" ht="18.75">
      <c r="A3" s="16" t="s">
        <v>28</v>
      </c>
      <c r="B3" s="13">
        <v>10.127806642857143</v>
      </c>
      <c r="C3" s="32">
        <v>0</v>
      </c>
      <c r="D3" s="7">
        <v>0</v>
      </c>
      <c r="E3" s="14">
        <v>0</v>
      </c>
      <c r="F3" s="3">
        <v>344.28</v>
      </c>
      <c r="G3" s="2">
        <v>0</v>
      </c>
      <c r="H3" s="7">
        <v>0</v>
      </c>
      <c r="I3" s="14">
        <v>0</v>
      </c>
    </row>
    <row r="4" spans="1:9" ht="18.75">
      <c r="A4" s="16" t="s">
        <v>25</v>
      </c>
      <c r="B4" s="13">
        <v>10.295216678571428</v>
      </c>
      <c r="C4" s="4">
        <f aca="true" t="shared" si="0" ref="C4:C107">$B4-$B3</f>
        <v>0.16741003571428514</v>
      </c>
      <c r="D4" s="6">
        <f aca="true" t="shared" si="1" ref="D4:D71">$C4/$B3</f>
        <v>0.0165297424820363</v>
      </c>
      <c r="E4" s="15">
        <f aca="true" t="shared" si="2" ref="E4:E107">$E3+$D4</f>
        <v>0.0165297424820363</v>
      </c>
      <c r="F4" s="3">
        <v>346.21</v>
      </c>
      <c r="G4" s="2">
        <f aca="true" t="shared" si="3" ref="G4:G105">$F4-$F3</f>
        <v>1.9300000000000068</v>
      </c>
      <c r="H4" s="6">
        <f aca="true" t="shared" si="4" ref="H4:H105">$G4/$F3</f>
        <v>0.005605902172650189</v>
      </c>
      <c r="I4" s="15">
        <f aca="true" t="shared" si="5" ref="I4:I105">$I3+$H4</f>
        <v>0.005605902172650189</v>
      </c>
    </row>
    <row r="5" spans="1:9" ht="18.75">
      <c r="A5" s="16" t="s">
        <v>39</v>
      </c>
      <c r="B5" s="13">
        <v>10.529749142857144</v>
      </c>
      <c r="C5" s="4">
        <f t="shared" si="0"/>
        <v>0.2345324642857154</v>
      </c>
      <c r="D5" s="6">
        <f t="shared" si="1"/>
        <v>0.022780721533901635</v>
      </c>
      <c r="E5" s="15">
        <f t="shared" si="2"/>
        <v>0.039310464015937935</v>
      </c>
      <c r="F5" s="3">
        <v>346.59</v>
      </c>
      <c r="G5" s="2">
        <f t="shared" si="3"/>
        <v>0.37999999999999545</v>
      </c>
      <c r="H5" s="6">
        <f t="shared" si="4"/>
        <v>0.0010975997227116359</v>
      </c>
      <c r="I5" s="15">
        <f t="shared" si="5"/>
        <v>0.006703501895361824</v>
      </c>
    </row>
    <row r="6" spans="1:9" s="37" customFormat="1" ht="18.75">
      <c r="A6" s="34" t="s">
        <v>41</v>
      </c>
      <c r="B6" s="35">
        <v>10.640004857142857</v>
      </c>
      <c r="C6" s="4">
        <f t="shared" si="0"/>
        <v>0.11025571428571368</v>
      </c>
      <c r="D6" s="6">
        <f t="shared" si="1"/>
        <v>0.010470877585958983</v>
      </c>
      <c r="E6" s="15">
        <f t="shared" si="2"/>
        <v>0.049781341601896914</v>
      </c>
      <c r="F6" s="36">
        <v>348.46</v>
      </c>
      <c r="G6" s="2">
        <f t="shared" si="3"/>
        <v>1.8700000000000045</v>
      </c>
      <c r="H6" s="6">
        <f t="shared" si="4"/>
        <v>0.005395423987997359</v>
      </c>
      <c r="I6" s="15">
        <f t="shared" si="5"/>
        <v>0.012098925883359184</v>
      </c>
    </row>
    <row r="7" spans="1:9" ht="18.75">
      <c r="A7" s="16" t="s">
        <v>43</v>
      </c>
      <c r="B7" s="13">
        <v>10.759629714285714</v>
      </c>
      <c r="C7" s="4">
        <f t="shared" si="0"/>
        <v>0.1196248571428562</v>
      </c>
      <c r="D7" s="6">
        <f t="shared" si="1"/>
        <v>0.011242932569015656</v>
      </c>
      <c r="E7" s="15">
        <f t="shared" si="2"/>
        <v>0.06102427417091257</v>
      </c>
      <c r="F7" s="3">
        <v>357.42</v>
      </c>
      <c r="G7" s="2">
        <f t="shared" si="3"/>
        <v>8.960000000000036</v>
      </c>
      <c r="H7" s="6">
        <f t="shared" si="4"/>
        <v>0.025713137806348037</v>
      </c>
      <c r="I7" s="15">
        <f t="shared" si="5"/>
        <v>0.03781206368970722</v>
      </c>
    </row>
    <row r="8" spans="1:9" ht="18.75">
      <c r="A8" s="34" t="s">
        <v>45</v>
      </c>
      <c r="B8" s="35">
        <v>10.71989417857143</v>
      </c>
      <c r="C8" s="4">
        <f t="shared" si="0"/>
        <v>-0.0397355357142839</v>
      </c>
      <c r="D8" s="6">
        <f t="shared" si="1"/>
        <v>-0.0036930207422962206</v>
      </c>
      <c r="E8" s="15">
        <f t="shared" si="2"/>
        <v>0.05733125342861635</v>
      </c>
      <c r="F8" s="36">
        <v>353.95</v>
      </c>
      <c r="G8" s="2">
        <f t="shared" si="3"/>
        <v>-3.4700000000000273</v>
      </c>
      <c r="H8" s="6">
        <f t="shared" si="4"/>
        <v>-0.009708466230205437</v>
      </c>
      <c r="I8" s="15">
        <f t="shared" si="5"/>
        <v>0.028103597459501785</v>
      </c>
    </row>
    <row r="9" spans="1:9" ht="18.75">
      <c r="A9" s="34" t="s">
        <v>46</v>
      </c>
      <c r="B9" s="35">
        <v>10.748465607142858</v>
      </c>
      <c r="C9" s="4">
        <f t="shared" si="0"/>
        <v>0.02857142857142847</v>
      </c>
      <c r="D9" s="6">
        <f t="shared" si="1"/>
        <v>0.002665271512524949</v>
      </c>
      <c r="E9" s="15">
        <f t="shared" si="2"/>
        <v>0.0599965249411413</v>
      </c>
      <c r="F9" s="36">
        <v>355</v>
      </c>
      <c r="G9" s="2">
        <f t="shared" si="3"/>
        <v>1.0500000000000114</v>
      </c>
      <c r="H9" s="6">
        <f t="shared" si="4"/>
        <v>0.002966520695013452</v>
      </c>
      <c r="I9" s="15">
        <f t="shared" si="5"/>
        <v>0.031070118154515238</v>
      </c>
    </row>
    <row r="10" spans="1:9" ht="18.75">
      <c r="A10" s="34" t="s">
        <v>47</v>
      </c>
      <c r="B10" s="35">
        <v>10.780608464285715</v>
      </c>
      <c r="C10" s="4">
        <f t="shared" si="0"/>
        <v>0.032142857142856585</v>
      </c>
      <c r="D10" s="6">
        <f t="shared" si="1"/>
        <v>0.0029904600635737395</v>
      </c>
      <c r="E10" s="15">
        <f t="shared" si="2"/>
        <v>0.06298698500471504</v>
      </c>
      <c r="F10" s="36">
        <v>357.22</v>
      </c>
      <c r="G10" s="2">
        <f t="shared" si="3"/>
        <v>2.2200000000000273</v>
      </c>
      <c r="H10" s="6">
        <f t="shared" si="4"/>
        <v>0.00625352112676064</v>
      </c>
      <c r="I10" s="15">
        <f t="shared" si="5"/>
        <v>0.037323639281275876</v>
      </c>
    </row>
    <row r="11" spans="1:9" ht="18.75">
      <c r="A11" s="16" t="s">
        <v>48</v>
      </c>
      <c r="B11" s="13">
        <v>10.987751321428572</v>
      </c>
      <c r="C11" s="4">
        <f t="shared" si="0"/>
        <v>0.2071428571428573</v>
      </c>
      <c r="D11" s="6">
        <f t="shared" si="1"/>
        <v>0.01921439386553047</v>
      </c>
      <c r="E11" s="15">
        <f t="shared" si="2"/>
        <v>0.0822013788702455</v>
      </c>
      <c r="F11" s="3">
        <v>357.68</v>
      </c>
      <c r="G11" s="2">
        <f t="shared" si="3"/>
        <v>0.45999999999997954</v>
      </c>
      <c r="H11" s="6">
        <f t="shared" si="4"/>
        <v>0.0012877218520798933</v>
      </c>
      <c r="I11" s="15">
        <f t="shared" si="5"/>
        <v>0.03861136113335577</v>
      </c>
    </row>
    <row r="12" spans="1:9" ht="18.75">
      <c r="A12" s="34" t="s">
        <v>50</v>
      </c>
      <c r="B12" s="35">
        <v>10.891769357142858</v>
      </c>
      <c r="C12" s="4">
        <f t="shared" si="0"/>
        <v>-0.09598196428571448</v>
      </c>
      <c r="D12" s="6">
        <f t="shared" si="1"/>
        <v>-0.008735360082142393</v>
      </c>
      <c r="E12" s="15">
        <f t="shared" si="2"/>
        <v>0.07346601878810312</v>
      </c>
      <c r="F12" s="36">
        <v>358.8</v>
      </c>
      <c r="G12" s="2">
        <f t="shared" si="3"/>
        <v>1.1200000000000045</v>
      </c>
      <c r="H12" s="6">
        <f t="shared" si="4"/>
        <v>0.0031312905390293126</v>
      </c>
      <c r="I12" s="15">
        <f t="shared" si="5"/>
        <v>0.041742651672385084</v>
      </c>
    </row>
    <row r="13" spans="1:9" s="37" customFormat="1" ht="18.75">
      <c r="A13" s="34" t="s">
        <v>51</v>
      </c>
      <c r="B13" s="35">
        <v>10.556055071428572</v>
      </c>
      <c r="C13" s="4">
        <f t="shared" si="0"/>
        <v>-0.3357142857142854</v>
      </c>
      <c r="D13" s="6">
        <f t="shared" si="1"/>
        <v>-0.030822750161719398</v>
      </c>
      <c r="E13" s="15">
        <f t="shared" si="2"/>
        <v>0.04264326862638372</v>
      </c>
      <c r="F13" s="36">
        <v>355.77</v>
      </c>
      <c r="G13" s="2">
        <f t="shared" si="3"/>
        <v>-3.0300000000000296</v>
      </c>
      <c r="H13" s="6">
        <f t="shared" si="4"/>
        <v>-0.008444816053511788</v>
      </c>
      <c r="I13" s="15">
        <f t="shared" si="5"/>
        <v>0.0332978356188733</v>
      </c>
    </row>
    <row r="14" spans="1:9" s="37" customFormat="1" ht="18.75">
      <c r="A14" s="34" t="s">
        <v>52</v>
      </c>
      <c r="B14" s="35">
        <v>10.524199433962265</v>
      </c>
      <c r="C14" s="4">
        <f t="shared" si="0"/>
        <v>-0.031855637466307485</v>
      </c>
      <c r="D14" s="6">
        <f t="shared" si="1"/>
        <v>-0.003017759688705034</v>
      </c>
      <c r="E14" s="15">
        <f t="shared" si="2"/>
        <v>0.03962550893767869</v>
      </c>
      <c r="F14" s="36">
        <v>353.8</v>
      </c>
      <c r="G14" s="2">
        <f t="shared" si="3"/>
        <v>-1.9699999999999704</v>
      </c>
      <c r="H14" s="6">
        <f t="shared" si="4"/>
        <v>-0.005537285324788404</v>
      </c>
      <c r="I14" s="15">
        <f t="shared" si="5"/>
        <v>0.027760550294084894</v>
      </c>
    </row>
    <row r="15" spans="1:9" s="37" customFormat="1" ht="18.75">
      <c r="A15" s="34" t="s">
        <v>53</v>
      </c>
      <c r="B15" s="35">
        <v>10.646840943396226</v>
      </c>
      <c r="C15" s="4">
        <f t="shared" si="0"/>
        <v>0.12264150943396146</v>
      </c>
      <c r="D15" s="6">
        <f t="shared" si="1"/>
        <v>0.011653286333418337</v>
      </c>
      <c r="E15" s="15">
        <f t="shared" si="2"/>
        <v>0.05127879527109702</v>
      </c>
      <c r="F15" s="36">
        <v>357.46</v>
      </c>
      <c r="G15" s="2">
        <f t="shared" si="3"/>
        <v>3.659999999999968</v>
      </c>
      <c r="H15" s="6">
        <f t="shared" si="4"/>
        <v>0.010344827586206806</v>
      </c>
      <c r="I15" s="15">
        <f t="shared" si="5"/>
        <v>0.038105377880291696</v>
      </c>
    </row>
    <row r="16" spans="1:9" s="37" customFormat="1" ht="18.75">
      <c r="A16" s="34" t="s">
        <v>55</v>
      </c>
      <c r="B16" s="35">
        <v>10.616537012578616</v>
      </c>
      <c r="C16" s="4">
        <f t="shared" si="0"/>
        <v>-0.030303930817609626</v>
      </c>
      <c r="D16" s="6">
        <f t="shared" si="1"/>
        <v>-0.0028462837924150487</v>
      </c>
      <c r="E16" s="15">
        <f t="shared" si="2"/>
        <v>0.048432511478681974</v>
      </c>
      <c r="F16" s="36">
        <v>355</v>
      </c>
      <c r="G16" s="2">
        <f t="shared" si="3"/>
        <v>-2.4599999999999795</v>
      </c>
      <c r="H16" s="6">
        <f t="shared" si="4"/>
        <v>-0.00688188888267213</v>
      </c>
      <c r="I16" s="15">
        <f t="shared" si="5"/>
        <v>0.031223488997619567</v>
      </c>
    </row>
    <row r="17" spans="1:9" ht="18.75">
      <c r="A17" s="16" t="s">
        <v>57</v>
      </c>
      <c r="B17" s="13">
        <v>10.659580628930817</v>
      </c>
      <c r="C17" s="4">
        <f t="shared" si="0"/>
        <v>0.04304361635220033</v>
      </c>
      <c r="D17" s="6">
        <f t="shared" si="1"/>
        <v>0.004054393282969924</v>
      </c>
      <c r="E17" s="15">
        <f t="shared" si="2"/>
        <v>0.052486904761651895</v>
      </c>
      <c r="F17" s="3">
        <v>350.36</v>
      </c>
      <c r="G17" s="2">
        <f t="shared" si="3"/>
        <v>-4.639999999999986</v>
      </c>
      <c r="H17" s="6">
        <f t="shared" si="4"/>
        <v>-0.01307042253521123</v>
      </c>
      <c r="I17" s="15">
        <f t="shared" si="5"/>
        <v>0.018153066462408336</v>
      </c>
    </row>
    <row r="18" spans="1:9" ht="18.75">
      <c r="A18" s="16" t="s">
        <v>59</v>
      </c>
      <c r="B18" s="13">
        <v>10.467873081761006</v>
      </c>
      <c r="C18" s="4">
        <f t="shared" si="0"/>
        <v>-0.19170754716981087</v>
      </c>
      <c r="D18" s="6">
        <f t="shared" si="1"/>
        <v>-0.017984529958852576</v>
      </c>
      <c r="E18" s="15">
        <f t="shared" si="2"/>
        <v>0.034502374802799315</v>
      </c>
      <c r="F18" s="3">
        <v>345.07</v>
      </c>
      <c r="G18" s="2">
        <f t="shared" si="3"/>
        <v>-5.2900000000000205</v>
      </c>
      <c r="H18" s="6">
        <f t="shared" si="4"/>
        <v>-0.015098755565703906</v>
      </c>
      <c r="I18" s="15">
        <f t="shared" si="5"/>
        <v>0.0030543108967044305</v>
      </c>
    </row>
    <row r="19" spans="1:9" s="37" customFormat="1" ht="18.75">
      <c r="A19" s="34" t="s">
        <v>60</v>
      </c>
      <c r="B19" s="35">
        <v>10.455294465408805</v>
      </c>
      <c r="C19" s="40">
        <f t="shared" si="0"/>
        <v>-0.012578616352200811</v>
      </c>
      <c r="D19" s="41">
        <f t="shared" si="1"/>
        <v>-0.0012016401282240914</v>
      </c>
      <c r="E19" s="42">
        <f t="shared" si="2"/>
        <v>0.03330073467457523</v>
      </c>
      <c r="F19" s="36">
        <v>343.67</v>
      </c>
      <c r="G19" s="43">
        <f t="shared" si="3"/>
        <v>-1.3999999999999773</v>
      </c>
      <c r="H19" s="41">
        <f t="shared" si="4"/>
        <v>-0.004057147825078903</v>
      </c>
      <c r="I19" s="42">
        <f t="shared" si="5"/>
        <v>-0.0010028369283744728</v>
      </c>
    </row>
    <row r="20" spans="1:9" ht="18.75">
      <c r="A20" s="16" t="s">
        <v>61</v>
      </c>
      <c r="B20" s="13">
        <v>10.417558616352201</v>
      </c>
      <c r="C20" s="40">
        <f t="shared" si="0"/>
        <v>-0.03773584905660421</v>
      </c>
      <c r="D20" s="41">
        <f t="shared" si="1"/>
        <v>-0.0036092574132132516</v>
      </c>
      <c r="E20" s="42">
        <f t="shared" si="2"/>
        <v>0.029691477261361975</v>
      </c>
      <c r="F20" s="3">
        <v>348.95</v>
      </c>
      <c r="G20" s="43">
        <f t="shared" si="3"/>
        <v>5.279999999999973</v>
      </c>
      <c r="H20" s="41">
        <f t="shared" si="4"/>
        <v>0.015363575523030734</v>
      </c>
      <c r="I20" s="42">
        <f t="shared" si="5"/>
        <v>0.014360738594656261</v>
      </c>
    </row>
    <row r="21" spans="1:9" s="37" customFormat="1" ht="18.75">
      <c r="A21" s="34" t="s">
        <v>63</v>
      </c>
      <c r="B21" s="35">
        <v>10.114812389937107</v>
      </c>
      <c r="C21" s="40">
        <f t="shared" si="0"/>
        <v>-0.30274622641509374</v>
      </c>
      <c r="D21" s="41">
        <f t="shared" si="1"/>
        <v>-0.02906114931188196</v>
      </c>
      <c r="E21" s="42">
        <f t="shared" si="2"/>
        <v>0.0006303279494800154</v>
      </c>
      <c r="F21" s="36">
        <v>356.24</v>
      </c>
      <c r="G21" s="43">
        <f t="shared" si="3"/>
        <v>7.2900000000000205</v>
      </c>
      <c r="H21" s="41">
        <f t="shared" si="4"/>
        <v>0.02089124516406368</v>
      </c>
      <c r="I21" s="42">
        <f t="shared" si="5"/>
        <v>0.03525198375871994</v>
      </c>
    </row>
    <row r="22" spans="1:9" ht="18.75">
      <c r="A22" s="16" t="s">
        <v>65</v>
      </c>
      <c r="B22" s="13">
        <v>10.156026540880502</v>
      </c>
      <c r="C22" s="40">
        <f t="shared" si="0"/>
        <v>0.041214150943394756</v>
      </c>
      <c r="D22" s="41">
        <f t="shared" si="1"/>
        <v>0.004074633256114305</v>
      </c>
      <c r="E22" s="42">
        <f t="shared" si="2"/>
        <v>0.004704961205594321</v>
      </c>
      <c r="F22" s="3">
        <v>357.1</v>
      </c>
      <c r="G22" s="43">
        <f t="shared" si="3"/>
        <v>0.8600000000000136</v>
      </c>
      <c r="H22" s="41">
        <f t="shared" si="4"/>
        <v>0.002414102852009919</v>
      </c>
      <c r="I22" s="42">
        <f t="shared" si="5"/>
        <v>0.037666086610729864</v>
      </c>
    </row>
    <row r="23" spans="1:9" ht="18.75">
      <c r="A23" s="16" t="s">
        <v>66</v>
      </c>
      <c r="B23" s="13">
        <v>9.992971792452831</v>
      </c>
      <c r="C23" s="40">
        <f t="shared" si="0"/>
        <v>-0.16305474842767076</v>
      </c>
      <c r="D23" s="41">
        <f t="shared" si="1"/>
        <v>-0.01605497462726543</v>
      </c>
      <c r="E23" s="42">
        <f t="shared" si="2"/>
        <v>-0.01135001342167111</v>
      </c>
      <c r="F23" s="3">
        <v>353.62</v>
      </c>
      <c r="G23" s="43">
        <f t="shared" si="3"/>
        <v>-3.480000000000018</v>
      </c>
      <c r="H23" s="41">
        <f t="shared" si="4"/>
        <v>-0.00974516942033049</v>
      </c>
      <c r="I23" s="42">
        <f t="shared" si="5"/>
        <v>0.027920917190399373</v>
      </c>
    </row>
    <row r="24" spans="1:9" ht="18.75">
      <c r="A24" s="16" t="s">
        <v>70</v>
      </c>
      <c r="B24" s="13">
        <v>10.082594433962266</v>
      </c>
      <c r="C24" s="40">
        <f t="shared" si="0"/>
        <v>0.08962264150943433</v>
      </c>
      <c r="D24" s="41">
        <f t="shared" si="1"/>
        <v>0.00896856744628476</v>
      </c>
      <c r="E24" s="42">
        <f t="shared" si="2"/>
        <v>-0.002381445975386351</v>
      </c>
      <c r="F24" s="3">
        <v>352.18</v>
      </c>
      <c r="G24" s="43">
        <f t="shared" si="3"/>
        <v>-1.4399999999999977</v>
      </c>
      <c r="H24" s="41">
        <f t="shared" si="4"/>
        <v>-0.004072167863808602</v>
      </c>
      <c r="I24" s="42">
        <f t="shared" si="5"/>
        <v>0.02384874932659077</v>
      </c>
    </row>
    <row r="25" spans="1:9" ht="18.75">
      <c r="A25" s="16" t="s">
        <v>71</v>
      </c>
      <c r="B25" s="13">
        <v>10.130088475986048</v>
      </c>
      <c r="C25" s="40">
        <f t="shared" si="0"/>
        <v>0.04749404202378216</v>
      </c>
      <c r="D25" s="41">
        <f t="shared" si="1"/>
        <v>0.004710498109871698</v>
      </c>
      <c r="E25" s="42">
        <f t="shared" si="2"/>
        <v>0.002329052134485347</v>
      </c>
      <c r="F25" s="3">
        <v>358.44</v>
      </c>
      <c r="G25" s="43">
        <f t="shared" si="3"/>
        <v>6.259999999999991</v>
      </c>
      <c r="H25" s="41">
        <f t="shared" si="4"/>
        <v>0.01777500141972852</v>
      </c>
      <c r="I25" s="42">
        <f t="shared" si="5"/>
        <v>0.04162375074631929</v>
      </c>
    </row>
    <row r="26" spans="1:9" ht="18.75">
      <c r="A26" s="16" t="s">
        <v>72</v>
      </c>
      <c r="B26" s="13">
        <v>10.219440166353635</v>
      </c>
      <c r="C26" s="40">
        <f t="shared" si="0"/>
        <v>0.08935169036758772</v>
      </c>
      <c r="D26" s="41">
        <f t="shared" si="1"/>
        <v>0.008820425466115226</v>
      </c>
      <c r="E26" s="42">
        <f t="shared" si="2"/>
        <v>0.011149477600600574</v>
      </c>
      <c r="F26" s="3">
        <v>362.59</v>
      </c>
      <c r="G26" s="43">
        <f t="shared" si="3"/>
        <v>4.149999999999977</v>
      </c>
      <c r="H26" s="41">
        <f t="shared" si="4"/>
        <v>0.01157794888963279</v>
      </c>
      <c r="I26" s="42">
        <f t="shared" si="5"/>
        <v>0.05320169963595208</v>
      </c>
    </row>
    <row r="27" spans="1:9" ht="18.75">
      <c r="A27" s="16" t="s">
        <v>73</v>
      </c>
      <c r="B27" s="13">
        <v>10.219440166353635</v>
      </c>
      <c r="C27" s="40">
        <f t="shared" si="0"/>
        <v>0</v>
      </c>
      <c r="D27" s="41">
        <f t="shared" si="1"/>
        <v>0</v>
      </c>
      <c r="E27" s="42">
        <f t="shared" si="2"/>
        <v>0.011149477600600574</v>
      </c>
      <c r="F27" s="3">
        <v>364.53</v>
      </c>
      <c r="G27" s="43">
        <f t="shared" si="3"/>
        <v>1.9399999999999977</v>
      </c>
      <c r="H27" s="41">
        <f t="shared" si="4"/>
        <v>0.005350395763810359</v>
      </c>
      <c r="I27" s="42">
        <f t="shared" si="5"/>
        <v>0.05855209539976244</v>
      </c>
    </row>
    <row r="28" spans="1:9" ht="18.75">
      <c r="A28" s="16" t="s">
        <v>75</v>
      </c>
      <c r="B28" s="13">
        <v>10.192638683928092</v>
      </c>
      <c r="C28" s="40">
        <f t="shared" si="0"/>
        <v>-0.02680148242554381</v>
      </c>
      <c r="D28" s="41">
        <f t="shared" si="1"/>
        <v>-0.002622597910381108</v>
      </c>
      <c r="E28" s="42">
        <f t="shared" si="2"/>
        <v>0.008526879690219466</v>
      </c>
      <c r="F28" s="3">
        <v>361.21</v>
      </c>
      <c r="G28" s="43">
        <f t="shared" si="3"/>
        <v>-3.319999999999993</v>
      </c>
      <c r="H28" s="41">
        <f t="shared" si="4"/>
        <v>-0.009107618028694465</v>
      </c>
      <c r="I28" s="42">
        <f t="shared" si="5"/>
        <v>0.04944447737106797</v>
      </c>
    </row>
    <row r="29" spans="1:9" ht="18.75">
      <c r="A29" s="16" t="s">
        <v>76</v>
      </c>
      <c r="B29" s="13">
        <v>10.162453548430372</v>
      </c>
      <c r="C29" s="40">
        <f t="shared" si="0"/>
        <v>-0.030185135497719173</v>
      </c>
      <c r="D29" s="41">
        <f t="shared" si="1"/>
        <v>-0.0029614642914121496</v>
      </c>
      <c r="E29" s="42">
        <f t="shared" si="2"/>
        <v>0.005565415398807316</v>
      </c>
      <c r="F29" s="3">
        <v>361.35</v>
      </c>
      <c r="G29" s="43">
        <f t="shared" si="3"/>
        <v>0.1400000000000432</v>
      </c>
      <c r="H29" s="41">
        <f t="shared" si="4"/>
        <v>0.00038758616871084194</v>
      </c>
      <c r="I29" s="42">
        <f t="shared" si="5"/>
        <v>0.04983206353977881</v>
      </c>
    </row>
    <row r="30" spans="1:9" ht="18.75">
      <c r="A30" s="16" t="s">
        <v>78</v>
      </c>
      <c r="B30" s="13">
        <v>10.132268412932653</v>
      </c>
      <c r="C30" s="40">
        <f t="shared" si="0"/>
        <v>-0.030185135497719173</v>
      </c>
      <c r="D30" s="41">
        <f t="shared" si="1"/>
        <v>-0.0029702606121512235</v>
      </c>
      <c r="E30" s="42">
        <f t="shared" si="2"/>
        <v>0.0025951547866560924</v>
      </c>
      <c r="F30" s="3">
        <v>364.29</v>
      </c>
      <c r="G30" s="43">
        <f t="shared" si="3"/>
        <v>2.9399999999999977</v>
      </c>
      <c r="H30" s="41">
        <f t="shared" si="4"/>
        <v>0.008136156081361553</v>
      </c>
      <c r="I30" s="42">
        <f t="shared" si="5"/>
        <v>0.05796821962114036</v>
      </c>
    </row>
    <row r="31" spans="1:9" ht="18.75">
      <c r="A31" s="16" t="s">
        <v>79</v>
      </c>
      <c r="B31" s="13">
        <v>10.270685919931246</v>
      </c>
      <c r="C31" s="40">
        <f t="shared" si="0"/>
        <v>0.1384175069985929</v>
      </c>
      <c r="D31" s="41">
        <f t="shared" si="1"/>
        <v>0.013661058053092945</v>
      </c>
      <c r="E31" s="42">
        <f t="shared" si="2"/>
        <v>0.016256212839749037</v>
      </c>
      <c r="F31" s="3">
        <v>364.9</v>
      </c>
      <c r="G31" s="43">
        <f t="shared" si="3"/>
        <v>0.6099999999999568</v>
      </c>
      <c r="H31" s="41">
        <f t="shared" si="4"/>
        <v>0.001674490104037873</v>
      </c>
      <c r="I31" s="42">
        <f t="shared" si="5"/>
        <v>0.05964270972517824</v>
      </c>
    </row>
    <row r="32" spans="1:9" ht="18.75">
      <c r="A32" s="16" t="s">
        <v>80</v>
      </c>
      <c r="B32" s="13">
        <v>10.270685919931246</v>
      </c>
      <c r="C32" s="40">
        <f t="shared" si="0"/>
        <v>0</v>
      </c>
      <c r="D32" s="41">
        <f t="shared" si="1"/>
        <v>0</v>
      </c>
      <c r="E32" s="42">
        <f t="shared" si="2"/>
        <v>0.016256212839749037</v>
      </c>
      <c r="F32" s="3">
        <v>366.67</v>
      </c>
      <c r="G32" s="43">
        <f t="shared" si="3"/>
        <v>1.7700000000000387</v>
      </c>
      <c r="H32" s="41">
        <f t="shared" si="4"/>
        <v>0.004850644012058205</v>
      </c>
      <c r="I32" s="42">
        <f t="shared" si="5"/>
        <v>0.06449335373723644</v>
      </c>
    </row>
    <row r="33" spans="1:9" ht="18.75">
      <c r="A33" s="16" t="s">
        <v>81</v>
      </c>
      <c r="B33" s="13">
        <v>10.14177379502972</v>
      </c>
      <c r="C33" s="40">
        <f t="shared" si="0"/>
        <v>-0.12891212490152526</v>
      </c>
      <c r="D33" s="41">
        <f t="shared" si="1"/>
        <v>-0.012551462084081354</v>
      </c>
      <c r="E33" s="42">
        <f t="shared" si="2"/>
        <v>0.0037047507556676827</v>
      </c>
      <c r="F33" s="3">
        <v>364.19</v>
      </c>
      <c r="G33" s="43">
        <f t="shared" si="3"/>
        <v>-2.480000000000018</v>
      </c>
      <c r="H33" s="41">
        <f t="shared" si="4"/>
        <v>-0.006763574876592081</v>
      </c>
      <c r="I33" s="42">
        <f t="shared" si="5"/>
        <v>0.057729778860644364</v>
      </c>
    </row>
    <row r="34" spans="1:9" ht="18.75">
      <c r="A34" s="16" t="s">
        <v>82</v>
      </c>
      <c r="B34" s="13">
        <v>10.10954576380434</v>
      </c>
      <c r="C34" s="40">
        <f t="shared" si="0"/>
        <v>-0.032228031225381315</v>
      </c>
      <c r="D34" s="41">
        <f t="shared" si="1"/>
        <v>-0.003177750941474915</v>
      </c>
      <c r="E34" s="42">
        <f t="shared" si="2"/>
        <v>0.0005269998141927677</v>
      </c>
      <c r="F34" s="3">
        <v>364.94</v>
      </c>
      <c r="G34" s="43">
        <f t="shared" si="3"/>
        <v>0.75</v>
      </c>
      <c r="H34" s="41">
        <f t="shared" si="4"/>
        <v>0.002059364617370054</v>
      </c>
      <c r="I34" s="42">
        <f t="shared" si="5"/>
        <v>0.059789143478014416</v>
      </c>
    </row>
    <row r="35" spans="1:9" ht="18.75">
      <c r="A35" s="16" t="s">
        <v>83</v>
      </c>
      <c r="B35" s="13">
        <v>10.088060409654085</v>
      </c>
      <c r="C35" s="40">
        <f t="shared" si="0"/>
        <v>-0.02148535415025421</v>
      </c>
      <c r="D35" s="41">
        <f t="shared" si="1"/>
        <v>-0.0021252541560451894</v>
      </c>
      <c r="E35" s="42">
        <f t="shared" si="2"/>
        <v>-0.0015982543418524217</v>
      </c>
      <c r="F35" s="3">
        <v>365.09</v>
      </c>
      <c r="G35" s="43">
        <f t="shared" si="3"/>
        <v>0.14999999999997726</v>
      </c>
      <c r="H35" s="41">
        <f t="shared" si="4"/>
        <v>0.00041102647010461246</v>
      </c>
      <c r="I35" s="42">
        <f t="shared" si="5"/>
        <v>0.060200169948119026</v>
      </c>
    </row>
    <row r="36" spans="1:9" ht="18.75">
      <c r="A36" s="16" t="s">
        <v>84</v>
      </c>
      <c r="B36" s="13">
        <v>10.055832378428704</v>
      </c>
      <c r="C36" s="40">
        <f t="shared" si="0"/>
        <v>-0.032228031225381315</v>
      </c>
      <c r="D36" s="41">
        <f t="shared" si="1"/>
        <v>-0.003194670721295413</v>
      </c>
      <c r="E36" s="42">
        <f t="shared" si="2"/>
        <v>-0.004792925063147834</v>
      </c>
      <c r="F36" s="3">
        <v>365.35</v>
      </c>
      <c r="G36" s="43">
        <f t="shared" si="3"/>
        <v>0.26000000000004775</v>
      </c>
      <c r="H36" s="41">
        <f t="shared" si="4"/>
        <v>0.0007121531677122019</v>
      </c>
      <c r="I36" s="42">
        <f t="shared" si="5"/>
        <v>0.060912323115831224</v>
      </c>
    </row>
    <row r="37" spans="1:9" ht="18.75">
      <c r="A37" s="16" t="s">
        <v>86</v>
      </c>
      <c r="B37" s="13">
        <v>10.145985282532406</v>
      </c>
      <c r="C37" s="40">
        <f t="shared" si="0"/>
        <v>0.09015290410370191</v>
      </c>
      <c r="D37" s="41">
        <f t="shared" si="1"/>
        <v>0.008965235368987818</v>
      </c>
      <c r="E37" s="42">
        <f t="shared" si="2"/>
        <v>0.004172310305839984</v>
      </c>
      <c r="F37" s="3">
        <v>365.46</v>
      </c>
      <c r="G37" s="43">
        <f t="shared" si="3"/>
        <v>0.1099999999999568</v>
      </c>
      <c r="H37" s="41">
        <f t="shared" si="4"/>
        <v>0.00030108115505667656</v>
      </c>
      <c r="I37" s="42">
        <f t="shared" si="5"/>
        <v>0.0612134042708879</v>
      </c>
    </row>
    <row r="38" spans="1:9" ht="18.75">
      <c r="A38" s="16" t="s">
        <v>87</v>
      </c>
      <c r="B38" s="13">
        <v>10.221184022058296</v>
      </c>
      <c r="C38" s="40">
        <f t="shared" si="0"/>
        <v>0.07519873952588974</v>
      </c>
      <c r="D38" s="41">
        <f t="shared" si="1"/>
        <v>0.007411674414248743</v>
      </c>
      <c r="E38" s="42">
        <f t="shared" si="2"/>
        <v>0.011583984720088727</v>
      </c>
      <c r="F38" s="3">
        <v>361.46</v>
      </c>
      <c r="G38" s="43">
        <f t="shared" si="3"/>
        <v>-4</v>
      </c>
      <c r="H38" s="41">
        <f t="shared" si="4"/>
        <v>-0.01094511027198599</v>
      </c>
      <c r="I38" s="42">
        <f t="shared" si="5"/>
        <v>0.05026829399890191</v>
      </c>
    </row>
    <row r="39" spans="1:9" ht="18.75">
      <c r="A39" s="16" t="s">
        <v>88</v>
      </c>
      <c r="B39" s="13">
        <v>10.163889744324285</v>
      </c>
      <c r="C39" s="40">
        <f t="shared" si="0"/>
        <v>-0.057294277734010635</v>
      </c>
      <c r="D39" s="41">
        <f t="shared" si="1"/>
        <v>-0.00560544430179166</v>
      </c>
      <c r="E39" s="42">
        <f t="shared" si="2"/>
        <v>0.005978540418297067</v>
      </c>
      <c r="F39" s="3">
        <v>356.2</v>
      </c>
      <c r="G39" s="43">
        <f t="shared" si="3"/>
        <v>-5.259999999999991</v>
      </c>
      <c r="H39" s="41">
        <f t="shared" si="4"/>
        <v>-0.01455209428429146</v>
      </c>
      <c r="I39" s="42">
        <f t="shared" si="5"/>
        <v>0.03571619971461045</v>
      </c>
    </row>
    <row r="40" spans="1:9" ht="18.75">
      <c r="A40" s="16" t="s">
        <v>89</v>
      </c>
      <c r="B40" s="13">
        <v>10.104805020411085</v>
      </c>
      <c r="C40" s="40">
        <f t="shared" si="0"/>
        <v>-0.059084723913199966</v>
      </c>
      <c r="D40" s="41">
        <f t="shared" si="1"/>
        <v>-0.00581320000506637</v>
      </c>
      <c r="E40" s="42">
        <f t="shared" si="2"/>
        <v>0.000165340413230697</v>
      </c>
      <c r="F40" s="3">
        <v>353.93</v>
      </c>
      <c r="G40" s="43">
        <f t="shared" si="3"/>
        <v>-2.269999999999982</v>
      </c>
      <c r="H40" s="41">
        <f t="shared" si="4"/>
        <v>-0.006372824256035884</v>
      </c>
      <c r="I40" s="42">
        <f t="shared" si="5"/>
        <v>0.029343375458574565</v>
      </c>
    </row>
    <row r="41" spans="1:9" ht="18.75">
      <c r="A41" s="16" t="s">
        <v>90</v>
      </c>
      <c r="B41" s="13">
        <v>10.137721585619136</v>
      </c>
      <c r="C41" s="40">
        <f t="shared" si="0"/>
        <v>0.032916565208051196</v>
      </c>
      <c r="D41" s="41">
        <f t="shared" si="1"/>
        <v>0.0032575161164972266</v>
      </c>
      <c r="E41" s="42">
        <f t="shared" si="2"/>
        <v>0.0034228565297279236</v>
      </c>
      <c r="F41" s="3">
        <v>352.83</v>
      </c>
      <c r="G41" s="43">
        <f t="shared" si="3"/>
        <v>-1.1000000000000227</v>
      </c>
      <c r="H41" s="41">
        <f t="shared" si="4"/>
        <v>-0.0031079592009720077</v>
      </c>
      <c r="I41" s="42">
        <f t="shared" si="5"/>
        <v>0.02623541625760256</v>
      </c>
    </row>
    <row r="42" spans="1:9" ht="18.75">
      <c r="A42" s="16" t="s">
        <v>95</v>
      </c>
      <c r="B42" s="13">
        <v>10.154002843228533</v>
      </c>
      <c r="C42" s="40">
        <f t="shared" si="0"/>
        <v>0.01628125760939625</v>
      </c>
      <c r="D42" s="41">
        <f t="shared" si="1"/>
        <v>0.00160600757003349</v>
      </c>
      <c r="E42" s="42">
        <f t="shared" si="2"/>
        <v>0.005028864099761414</v>
      </c>
      <c r="F42" s="3">
        <v>350.62</v>
      </c>
      <c r="G42" s="43">
        <f t="shared" si="3"/>
        <v>-2.2099999999999795</v>
      </c>
      <c r="H42" s="41">
        <f t="shared" si="4"/>
        <v>-0.00626363971317626</v>
      </c>
      <c r="I42" s="42">
        <f t="shared" si="5"/>
        <v>0.0199717765444263</v>
      </c>
    </row>
    <row r="43" spans="1:9" ht="18.75">
      <c r="A43" s="16" t="s">
        <v>97</v>
      </c>
      <c r="B43" s="13">
        <v>10.1590365036167</v>
      </c>
      <c r="C43" s="40">
        <f t="shared" si="0"/>
        <v>0.005033660388168215</v>
      </c>
      <c r="D43" s="41">
        <f t="shared" si="1"/>
        <v>0.0004957316307553574</v>
      </c>
      <c r="E43" s="42">
        <f t="shared" si="2"/>
        <v>0.0055245957305167705</v>
      </c>
      <c r="F43" s="3">
        <v>350.25</v>
      </c>
      <c r="G43" s="43">
        <f t="shared" si="3"/>
        <v>-0.37000000000000455</v>
      </c>
      <c r="H43" s="41">
        <f t="shared" si="4"/>
        <v>-0.0010552735154868648</v>
      </c>
      <c r="I43" s="42">
        <f t="shared" si="5"/>
        <v>0.018916503028939435</v>
      </c>
    </row>
    <row r="44" spans="1:9" ht="18.75">
      <c r="A44" s="16" t="s">
        <v>99</v>
      </c>
      <c r="B44" s="13">
        <v>10.13509895437943</v>
      </c>
      <c r="C44" s="40">
        <f t="shared" si="0"/>
        <v>-0.023937549237270872</v>
      </c>
      <c r="D44" s="41">
        <f t="shared" si="1"/>
        <v>-0.0023562814474334163</v>
      </c>
      <c r="E44" s="42">
        <f t="shared" si="2"/>
        <v>0.0031683142830833543</v>
      </c>
      <c r="F44" s="3">
        <v>350.01</v>
      </c>
      <c r="G44" s="43">
        <f t="shared" si="3"/>
        <v>-0.2400000000000091</v>
      </c>
      <c r="H44" s="41">
        <f t="shared" si="4"/>
        <v>-0.0006852248394004542</v>
      </c>
      <c r="I44" s="42">
        <f t="shared" si="5"/>
        <v>0.018231278189538982</v>
      </c>
    </row>
    <row r="45" spans="1:9" ht="18.75">
      <c r="A45" s="16" t="s">
        <v>101</v>
      </c>
      <c r="B45" s="13">
        <v>10.135046540650999</v>
      </c>
      <c r="C45" s="40">
        <f t="shared" si="0"/>
        <v>-5.241372843123315E-05</v>
      </c>
      <c r="D45" s="41">
        <f t="shared" si="1"/>
        <v>-5.171506333303722E-06</v>
      </c>
      <c r="E45" s="42">
        <f t="shared" si="2"/>
        <v>0.0031631427767500504</v>
      </c>
      <c r="F45" s="3">
        <v>350.55</v>
      </c>
      <c r="G45" s="43">
        <f t="shared" si="3"/>
        <v>0.5400000000000205</v>
      </c>
      <c r="H45" s="41">
        <f t="shared" si="4"/>
        <v>0.0015428130624839875</v>
      </c>
      <c r="I45" s="42">
        <f t="shared" si="5"/>
        <v>0.01977409125202297</v>
      </c>
    </row>
    <row r="46" spans="1:9" ht="18.75">
      <c r="A46" s="16" t="s">
        <v>105</v>
      </c>
      <c r="B46" s="13">
        <v>10.149207130345934</v>
      </c>
      <c r="C46" s="40">
        <f t="shared" si="0"/>
        <v>0.014160589694935055</v>
      </c>
      <c r="D46" s="41">
        <f t="shared" si="1"/>
        <v>0.001397190396525351</v>
      </c>
      <c r="E46" s="42">
        <f t="shared" si="2"/>
        <v>0.004560333173275402</v>
      </c>
      <c r="F46" s="3">
        <v>350.93</v>
      </c>
      <c r="G46" s="43">
        <f t="shared" si="3"/>
        <v>0.37999999999999545</v>
      </c>
      <c r="H46" s="41">
        <f t="shared" si="4"/>
        <v>0.001084010840108388</v>
      </c>
      <c r="I46" s="42">
        <f t="shared" si="5"/>
        <v>0.020858102092131358</v>
      </c>
    </row>
    <row r="47" spans="1:9" ht="18.75">
      <c r="A47" s="16" t="s">
        <v>107</v>
      </c>
      <c r="B47" s="13">
        <v>10.42411838417749</v>
      </c>
      <c r="C47" s="40">
        <f t="shared" si="0"/>
        <v>0.2749112538315561</v>
      </c>
      <c r="D47" s="41">
        <f t="shared" si="1"/>
        <v>0.02708696849920195</v>
      </c>
      <c r="E47" s="42">
        <f t="shared" si="2"/>
        <v>0.031647301672477354</v>
      </c>
      <c r="F47" s="3">
        <v>353.41</v>
      </c>
      <c r="G47" s="43">
        <f t="shared" si="3"/>
        <v>2.480000000000018</v>
      </c>
      <c r="H47" s="41">
        <f t="shared" si="4"/>
        <v>0.0070669364260679286</v>
      </c>
      <c r="I47" s="42">
        <f t="shared" si="5"/>
        <v>0.02792503851819929</v>
      </c>
    </row>
    <row r="48" spans="1:9" ht="18.75">
      <c r="A48" s="16" t="s">
        <v>109</v>
      </c>
      <c r="B48" s="13">
        <v>10.70300762662385</v>
      </c>
      <c r="C48" s="40">
        <f t="shared" si="0"/>
        <v>0.2788892424463594</v>
      </c>
      <c r="D48" s="41">
        <f t="shared" si="1"/>
        <v>0.026754228239548625</v>
      </c>
      <c r="E48" s="42">
        <f t="shared" si="2"/>
        <v>0.058401529912025976</v>
      </c>
      <c r="F48" s="3">
        <v>355.36</v>
      </c>
      <c r="G48" s="43">
        <f t="shared" si="3"/>
        <v>1.9499999999999886</v>
      </c>
      <c r="H48" s="41">
        <f t="shared" si="4"/>
        <v>0.005517670694094645</v>
      </c>
      <c r="I48" s="42">
        <f t="shared" si="5"/>
        <v>0.03344270921229393</v>
      </c>
    </row>
    <row r="49" spans="1:9" ht="18.75">
      <c r="A49" s="16" t="s">
        <v>111</v>
      </c>
      <c r="B49" s="13">
        <v>10.706784943803823</v>
      </c>
      <c r="C49" s="40">
        <f t="shared" si="0"/>
        <v>0.0037773171799742045</v>
      </c>
      <c r="D49" s="41">
        <f t="shared" si="1"/>
        <v>0.00035292109580283644</v>
      </c>
      <c r="E49" s="42">
        <f t="shared" si="2"/>
        <v>0.05875445100782881</v>
      </c>
      <c r="F49" s="3">
        <v>356.48</v>
      </c>
      <c r="G49" s="43">
        <f t="shared" si="3"/>
        <v>1.1200000000000045</v>
      </c>
      <c r="H49" s="41">
        <f t="shared" si="4"/>
        <v>0.003151733453399382</v>
      </c>
      <c r="I49" s="42">
        <f t="shared" si="5"/>
        <v>0.03659444266569332</v>
      </c>
    </row>
    <row r="50" spans="1:9" ht="18.75">
      <c r="A50" s="16" t="s">
        <v>112</v>
      </c>
      <c r="B50" s="13">
        <v>10.690363983360092</v>
      </c>
      <c r="C50" s="40">
        <f t="shared" si="0"/>
        <v>-0.016420960443731758</v>
      </c>
      <c r="D50" s="41">
        <f t="shared" si="1"/>
        <v>-0.0015336966727098422</v>
      </c>
      <c r="E50" s="42">
        <f t="shared" si="2"/>
        <v>0.05722075433511897</v>
      </c>
      <c r="F50" s="3">
        <v>351.52</v>
      </c>
      <c r="G50" s="43">
        <f t="shared" si="3"/>
        <v>-4.960000000000036</v>
      </c>
      <c r="H50" s="41">
        <f t="shared" si="4"/>
        <v>-0.01391382405745073</v>
      </c>
      <c r="I50" s="42">
        <f t="shared" si="5"/>
        <v>0.022680618608242588</v>
      </c>
    </row>
    <row r="51" spans="1:9" ht="18.75">
      <c r="A51" s="16" t="s">
        <v>114</v>
      </c>
      <c r="B51" s="13">
        <v>10.706723930813018</v>
      </c>
      <c r="C51" s="40">
        <f t="shared" si="0"/>
        <v>0.01635994745292635</v>
      </c>
      <c r="D51" s="41">
        <f t="shared" si="1"/>
        <v>0.0015303452228933602</v>
      </c>
      <c r="E51" s="42">
        <f t="shared" si="2"/>
        <v>0.05875109955801233</v>
      </c>
      <c r="F51" s="3">
        <v>357.23</v>
      </c>
      <c r="G51" s="43">
        <f t="shared" si="3"/>
        <v>5.710000000000036</v>
      </c>
      <c r="H51" s="41">
        <f t="shared" si="4"/>
        <v>0.01624374146563506</v>
      </c>
      <c r="I51" s="42">
        <f t="shared" si="5"/>
        <v>0.038924360073877645</v>
      </c>
    </row>
    <row r="52" spans="1:9" ht="18.75">
      <c r="A52" s="16" t="s">
        <v>115</v>
      </c>
      <c r="B52" s="13">
        <v>10.743214954021308</v>
      </c>
      <c r="C52" s="40">
        <f t="shared" si="0"/>
        <v>0.03649102320829023</v>
      </c>
      <c r="D52" s="41">
        <f t="shared" si="1"/>
        <v>0.0034082342501866743</v>
      </c>
      <c r="E52" s="42">
        <f t="shared" si="2"/>
        <v>0.062159333808199005</v>
      </c>
      <c r="F52" s="3">
        <v>364.15</v>
      </c>
      <c r="G52" s="43">
        <f t="shared" si="3"/>
        <v>6.919999999999959</v>
      </c>
      <c r="H52" s="41">
        <f t="shared" si="4"/>
        <v>0.019371273409288018</v>
      </c>
      <c r="I52" s="42">
        <f t="shared" si="5"/>
        <v>0.05829563348316566</v>
      </c>
    </row>
    <row r="53" spans="1:9" ht="18.75">
      <c r="A53" s="16" t="s">
        <v>117</v>
      </c>
      <c r="B53" s="13">
        <v>10.656422150051087</v>
      </c>
      <c r="C53" s="40">
        <f t="shared" si="0"/>
        <v>-0.08679280397022104</v>
      </c>
      <c r="D53" s="41">
        <f t="shared" si="1"/>
        <v>-0.008078848309530798</v>
      </c>
      <c r="E53" s="42">
        <f t="shared" si="2"/>
        <v>0.05408048549866821</v>
      </c>
      <c r="F53" s="3">
        <v>365.51</v>
      </c>
      <c r="G53" s="43">
        <f t="shared" si="3"/>
        <v>1.3600000000000136</v>
      </c>
      <c r="H53" s="41">
        <f t="shared" si="4"/>
        <v>0.0037347247013593677</v>
      </c>
      <c r="I53" s="42">
        <f t="shared" si="5"/>
        <v>0.06203035818452503</v>
      </c>
    </row>
    <row r="54" spans="1:9" ht="18.75">
      <c r="A54" s="16" t="s">
        <v>119</v>
      </c>
      <c r="B54" s="13">
        <v>10.242548846883667</v>
      </c>
      <c r="C54" s="40">
        <f t="shared" si="0"/>
        <v>-0.41387330316742066</v>
      </c>
      <c r="D54" s="41">
        <f t="shared" si="1"/>
        <v>-0.03883792302329507</v>
      </c>
      <c r="E54" s="42">
        <f t="shared" si="2"/>
        <v>0.015242562475373138</v>
      </c>
      <c r="F54" s="3">
        <v>360.41</v>
      </c>
      <c r="G54" s="43">
        <f t="shared" si="3"/>
        <v>-5.099999999999966</v>
      </c>
      <c r="H54" s="41">
        <f t="shared" si="4"/>
        <v>-0.013953106618149889</v>
      </c>
      <c r="I54" s="42">
        <f t="shared" si="5"/>
        <v>0.04807725156637514</v>
      </c>
    </row>
    <row r="55" spans="1:9" ht="18.75">
      <c r="A55" s="16" t="s">
        <v>120</v>
      </c>
      <c r="B55" s="13">
        <v>10.144023084221281</v>
      </c>
      <c r="C55" s="40">
        <f t="shared" si="0"/>
        <v>-0.09852576266238522</v>
      </c>
      <c r="D55" s="41">
        <f t="shared" si="1"/>
        <v>-0.009619262171482058</v>
      </c>
      <c r="E55" s="42">
        <f t="shared" si="2"/>
        <v>0.00562330030389108</v>
      </c>
      <c r="F55" s="3">
        <v>358.76</v>
      </c>
      <c r="G55" s="43">
        <f t="shared" si="3"/>
        <v>-1.650000000000034</v>
      </c>
      <c r="H55" s="41">
        <f t="shared" si="4"/>
        <v>-0.004578119364057696</v>
      </c>
      <c r="I55" s="42">
        <f t="shared" si="5"/>
        <v>0.04349913220231745</v>
      </c>
    </row>
    <row r="56" spans="1:9" ht="18.75">
      <c r="A56" s="16" t="s">
        <v>122</v>
      </c>
      <c r="B56" s="13">
        <v>10.338933729916613</v>
      </c>
      <c r="C56" s="40">
        <f t="shared" si="0"/>
        <v>0.194910645695332</v>
      </c>
      <c r="D56" s="41">
        <f t="shared" si="1"/>
        <v>0.019214333807906013</v>
      </c>
      <c r="E56" s="42">
        <f t="shared" si="2"/>
        <v>0.024837634111797093</v>
      </c>
      <c r="F56" s="3">
        <v>360.37</v>
      </c>
      <c r="G56" s="43">
        <f t="shared" si="3"/>
        <v>1.6100000000000136</v>
      </c>
      <c r="H56" s="41">
        <f t="shared" si="4"/>
        <v>0.00448767978592935</v>
      </c>
      <c r="I56" s="42">
        <f t="shared" si="5"/>
        <v>0.0479868119882468</v>
      </c>
    </row>
    <row r="57" spans="1:9" ht="18.75">
      <c r="A57" s="16" t="s">
        <v>125</v>
      </c>
      <c r="B57" s="13">
        <v>10.740784960341673</v>
      </c>
      <c r="C57" s="40">
        <f t="shared" si="0"/>
        <v>0.4018512304250592</v>
      </c>
      <c r="D57" s="41">
        <f t="shared" si="1"/>
        <v>0.038867763438918984</v>
      </c>
      <c r="E57" s="42">
        <f t="shared" si="2"/>
        <v>0.06370539755071608</v>
      </c>
      <c r="F57" s="3">
        <v>364.05</v>
      </c>
      <c r="G57" s="43">
        <f t="shared" si="3"/>
        <v>3.680000000000007</v>
      </c>
      <c r="H57" s="41">
        <f t="shared" si="4"/>
        <v>0.010211726836307148</v>
      </c>
      <c r="I57" s="42">
        <f t="shared" si="5"/>
        <v>0.05819853882455395</v>
      </c>
    </row>
    <row r="58" spans="1:9" ht="18.75">
      <c r="A58" s="16" t="s">
        <v>126</v>
      </c>
      <c r="B58" s="13">
        <v>10.993038773642466</v>
      </c>
      <c r="C58" s="40">
        <f t="shared" si="0"/>
        <v>0.25225381330079344</v>
      </c>
      <c r="D58" s="41">
        <f t="shared" si="1"/>
        <v>0.023485603168873895</v>
      </c>
      <c r="E58" s="42">
        <f t="shared" si="2"/>
        <v>0.08719100071958998</v>
      </c>
      <c r="F58" s="3">
        <v>373.33</v>
      </c>
      <c r="G58" s="43">
        <f t="shared" si="3"/>
        <v>9.279999999999973</v>
      </c>
      <c r="H58" s="41">
        <f t="shared" si="4"/>
        <v>0.025491003982969298</v>
      </c>
      <c r="I58" s="42">
        <f t="shared" si="5"/>
        <v>0.08368954280752325</v>
      </c>
    </row>
    <row r="59" spans="1:9" ht="18.75">
      <c r="A59" s="16" t="s">
        <v>127</v>
      </c>
      <c r="B59" s="13">
        <v>10.993038773642466</v>
      </c>
      <c r="C59" s="40">
        <f t="shared" si="0"/>
        <v>0</v>
      </c>
      <c r="D59" s="41">
        <f t="shared" si="1"/>
        <v>0</v>
      </c>
      <c r="E59" s="42">
        <f t="shared" si="2"/>
        <v>0.08719100071958998</v>
      </c>
      <c r="F59" s="3">
        <v>371.82</v>
      </c>
      <c r="G59" s="43">
        <f t="shared" si="3"/>
        <v>-1.509999999999991</v>
      </c>
      <c r="H59" s="41">
        <f t="shared" si="4"/>
        <v>-0.004044678970347926</v>
      </c>
      <c r="I59" s="42">
        <f t="shared" si="5"/>
        <v>0.07964486383717533</v>
      </c>
    </row>
    <row r="60" spans="1:9" ht="18.75">
      <c r="A60" s="16" t="s">
        <v>128</v>
      </c>
      <c r="B60" s="13">
        <v>10.993038773642466</v>
      </c>
      <c r="C60" s="40">
        <f t="shared" si="0"/>
        <v>0</v>
      </c>
      <c r="D60" s="41">
        <f t="shared" si="1"/>
        <v>0</v>
      </c>
      <c r="E60" s="42">
        <f t="shared" si="2"/>
        <v>0.08719100071958998</v>
      </c>
      <c r="F60" s="3">
        <v>370.48</v>
      </c>
      <c r="G60" s="43">
        <f t="shared" si="3"/>
        <v>-1.339999999999975</v>
      </c>
      <c r="H60" s="41">
        <f t="shared" si="4"/>
        <v>-0.0036038943574847374</v>
      </c>
      <c r="I60" s="42">
        <f t="shared" si="5"/>
        <v>0.07604096947969059</v>
      </c>
    </row>
    <row r="61" spans="1:9" ht="18.75">
      <c r="A61" s="16" t="s">
        <v>129</v>
      </c>
      <c r="B61" s="13">
        <v>10.993038773642466</v>
      </c>
      <c r="C61" s="40">
        <f t="shared" si="0"/>
        <v>0</v>
      </c>
      <c r="D61" s="41">
        <f t="shared" si="1"/>
        <v>0</v>
      </c>
      <c r="E61" s="42">
        <f t="shared" si="2"/>
        <v>0.08719100071958998</v>
      </c>
      <c r="F61" s="3">
        <v>367.16</v>
      </c>
      <c r="G61" s="43">
        <f t="shared" si="3"/>
        <v>-3.319999999999993</v>
      </c>
      <c r="H61" s="41">
        <f t="shared" si="4"/>
        <v>-0.008961347441157399</v>
      </c>
      <c r="I61" s="42">
        <f t="shared" si="5"/>
        <v>0.0670796220385332</v>
      </c>
    </row>
    <row r="62" spans="1:9" ht="18.75">
      <c r="A62" s="16" t="s">
        <v>130</v>
      </c>
      <c r="B62" s="13">
        <v>10.993038773642466</v>
      </c>
      <c r="C62" s="40">
        <f t="shared" si="0"/>
        <v>0</v>
      </c>
      <c r="D62" s="41">
        <f t="shared" si="1"/>
        <v>0</v>
      </c>
      <c r="E62" s="42">
        <f t="shared" si="2"/>
        <v>0.08719100071958998</v>
      </c>
      <c r="F62" s="3">
        <v>371.45</v>
      </c>
      <c r="G62" s="43">
        <f t="shared" si="3"/>
        <v>4.289999999999964</v>
      </c>
      <c r="H62" s="41">
        <f t="shared" si="4"/>
        <v>0.011684279333260604</v>
      </c>
      <c r="I62" s="42">
        <f t="shared" si="5"/>
        <v>0.0787639013717938</v>
      </c>
    </row>
    <row r="63" spans="1:9" ht="18.75">
      <c r="A63" s="16" t="s">
        <v>131</v>
      </c>
      <c r="B63" s="13">
        <v>10.993038773642466</v>
      </c>
      <c r="C63" s="40">
        <f t="shared" si="0"/>
        <v>0</v>
      </c>
      <c r="D63" s="41">
        <f t="shared" si="1"/>
        <v>0</v>
      </c>
      <c r="E63" s="42">
        <f t="shared" si="2"/>
        <v>0.08719100071958998</v>
      </c>
      <c r="F63" s="3">
        <v>375.91</v>
      </c>
      <c r="G63" s="43">
        <f t="shared" si="3"/>
        <v>4.460000000000036</v>
      </c>
      <c r="H63" s="41">
        <f t="shared" si="4"/>
        <v>0.012006999596177242</v>
      </c>
      <c r="I63" s="42">
        <f t="shared" si="5"/>
        <v>0.09077090096797104</v>
      </c>
    </row>
    <row r="64" spans="1:9" ht="18.75">
      <c r="A64" s="16" t="s">
        <v>132</v>
      </c>
      <c r="B64" s="13">
        <v>10.993038773642466</v>
      </c>
      <c r="C64" s="40">
        <f t="shared" si="0"/>
        <v>0</v>
      </c>
      <c r="D64" s="41">
        <f t="shared" si="1"/>
        <v>0</v>
      </c>
      <c r="E64" s="42">
        <f t="shared" si="2"/>
        <v>0.08719100071958998</v>
      </c>
      <c r="F64" s="3">
        <v>373.17</v>
      </c>
      <c r="G64" s="43">
        <f t="shared" si="3"/>
        <v>-2.740000000000009</v>
      </c>
      <c r="H64" s="41">
        <f t="shared" si="4"/>
        <v>-0.007288978744912369</v>
      </c>
      <c r="I64" s="42">
        <f t="shared" si="5"/>
        <v>0.08348192222305867</v>
      </c>
    </row>
    <row r="65" spans="1:9" ht="18.75">
      <c r="A65" s="16" t="s">
        <v>133</v>
      </c>
      <c r="B65" s="13">
        <v>10.993038773642466</v>
      </c>
      <c r="C65" s="40">
        <f t="shared" si="0"/>
        <v>0</v>
      </c>
      <c r="D65" s="41">
        <f t="shared" si="1"/>
        <v>0</v>
      </c>
      <c r="E65" s="42">
        <f t="shared" si="2"/>
        <v>0.08719100071958998</v>
      </c>
      <c r="F65" s="3">
        <v>376.56</v>
      </c>
      <c r="G65" s="43">
        <f t="shared" si="3"/>
        <v>3.3899999999999864</v>
      </c>
      <c r="H65" s="41">
        <f t="shared" si="4"/>
        <v>0.009084331537904939</v>
      </c>
      <c r="I65" s="42">
        <f t="shared" si="5"/>
        <v>0.09256625376096361</v>
      </c>
    </row>
    <row r="66" spans="1:9" ht="18.75">
      <c r="A66" s="16" t="s">
        <v>136</v>
      </c>
      <c r="B66" s="13">
        <v>11.010789943054709</v>
      </c>
      <c r="C66" s="40">
        <f t="shared" si="0"/>
        <v>0.017751169412242973</v>
      </c>
      <c r="D66" s="41">
        <f t="shared" si="1"/>
        <v>0.0016147645594413972</v>
      </c>
      <c r="E66" s="42">
        <f t="shared" si="2"/>
        <v>0.08880576527903138</v>
      </c>
      <c r="F66" s="3">
        <v>376.3</v>
      </c>
      <c r="G66" s="43">
        <f t="shared" si="3"/>
        <v>-0.2599999999999909</v>
      </c>
      <c r="H66" s="41">
        <f t="shared" si="4"/>
        <v>-0.0006904610155087925</v>
      </c>
      <c r="I66" s="42">
        <f t="shared" si="5"/>
        <v>0.09187579274545482</v>
      </c>
    </row>
    <row r="67" spans="1:9" ht="18.75">
      <c r="A67" s="16" t="s">
        <v>138</v>
      </c>
      <c r="B67" s="13">
        <v>11.239582043558853</v>
      </c>
      <c r="C67" s="40">
        <f t="shared" si="0"/>
        <v>0.228792100504144</v>
      </c>
      <c r="D67" s="41">
        <f t="shared" si="1"/>
        <v>0.020778899759908643</v>
      </c>
      <c r="E67" s="42">
        <f t="shared" si="2"/>
        <v>0.10958466503894002</v>
      </c>
      <c r="F67" s="3">
        <v>370.8</v>
      </c>
      <c r="G67" s="43">
        <f t="shared" si="3"/>
        <v>-5.5</v>
      </c>
      <c r="H67" s="41">
        <f t="shared" si="4"/>
        <v>-0.014615997874036673</v>
      </c>
      <c r="I67" s="42">
        <f t="shared" si="5"/>
        <v>0.07725979487141815</v>
      </c>
    </row>
    <row r="68" spans="1:9" ht="18.75">
      <c r="A68" s="16" t="s">
        <v>140</v>
      </c>
      <c r="B68" s="13">
        <v>11.137009445474206</v>
      </c>
      <c r="C68" s="40">
        <f t="shared" si="0"/>
        <v>-0.10257259808464703</v>
      </c>
      <c r="D68" s="41">
        <f t="shared" si="1"/>
        <v>-0.00912601533465642</v>
      </c>
      <c r="E68" s="42">
        <f t="shared" si="2"/>
        <v>0.1004586497042836</v>
      </c>
      <c r="F68" s="3">
        <v>374.76</v>
      </c>
      <c r="G68" s="43">
        <f t="shared" si="3"/>
        <v>3.9599999999999795</v>
      </c>
      <c r="H68" s="41">
        <f t="shared" si="4"/>
        <v>0.010679611650485381</v>
      </c>
      <c r="I68" s="42">
        <f t="shared" si="5"/>
        <v>0.08793940652190353</v>
      </c>
    </row>
    <row r="69" spans="1:9" ht="18.75">
      <c r="A69" s="16" t="s">
        <v>143</v>
      </c>
      <c r="B69" s="13">
        <v>11.150408812171763</v>
      </c>
      <c r="C69" s="40">
        <f t="shared" si="0"/>
        <v>0.013399366697557369</v>
      </c>
      <c r="D69" s="41">
        <f t="shared" si="1"/>
        <v>0.001203138666906898</v>
      </c>
      <c r="E69" s="42">
        <f t="shared" si="2"/>
        <v>0.1016617883711905</v>
      </c>
      <c r="F69" s="3">
        <v>369.69</v>
      </c>
      <c r="G69" s="43">
        <f t="shared" si="3"/>
        <v>-5.069999999999993</v>
      </c>
      <c r="H69" s="41">
        <f t="shared" si="4"/>
        <v>-0.013528658341338439</v>
      </c>
      <c r="I69" s="42">
        <f t="shared" si="5"/>
        <v>0.07441074818056509</v>
      </c>
    </row>
    <row r="70" spans="1:9" ht="18.75">
      <c r="A70" s="16" t="s">
        <v>144</v>
      </c>
      <c r="B70" s="13">
        <v>11.150408812171763</v>
      </c>
      <c r="C70" s="40">
        <f t="shared" si="0"/>
        <v>0</v>
      </c>
      <c r="D70" s="41">
        <f t="shared" si="1"/>
        <v>0</v>
      </c>
      <c r="E70" s="42">
        <f t="shared" si="2"/>
        <v>0.1016617883711905</v>
      </c>
      <c r="F70" s="3">
        <v>370.3</v>
      </c>
      <c r="G70" s="43">
        <f t="shared" si="3"/>
        <v>0.6100000000000136</v>
      </c>
      <c r="H70" s="41">
        <f t="shared" si="4"/>
        <v>0.0016500311071438601</v>
      </c>
      <c r="I70" s="42">
        <f t="shared" si="5"/>
        <v>0.07606077928770895</v>
      </c>
    </row>
    <row r="71" spans="1:9" ht="18.75">
      <c r="A71" s="16" t="s">
        <v>145</v>
      </c>
      <c r="B71" s="13">
        <v>11.169716813407476</v>
      </c>
      <c r="C71" s="40">
        <f t="shared" si="0"/>
        <v>0.019308001235712524</v>
      </c>
      <c r="D71" s="41">
        <f t="shared" si="1"/>
        <v>0.0017315958150911875</v>
      </c>
      <c r="E71" s="42">
        <f t="shared" si="2"/>
        <v>0.10339338418628169</v>
      </c>
      <c r="F71" s="3">
        <v>370.01</v>
      </c>
      <c r="G71" s="43">
        <f t="shared" si="3"/>
        <v>-0.29000000000002046</v>
      </c>
      <c r="H71" s="41">
        <f t="shared" si="4"/>
        <v>-0.0007831487982717268</v>
      </c>
      <c r="I71" s="42">
        <f t="shared" si="5"/>
        <v>0.07527763048943723</v>
      </c>
    </row>
    <row r="72" spans="1:9" ht="18.75">
      <c r="A72" s="16" t="s">
        <v>146</v>
      </c>
      <c r="B72" s="13">
        <v>11.1697168134075</v>
      </c>
      <c r="C72" s="40">
        <f t="shared" si="0"/>
        <v>2.4868995751603507E-14</v>
      </c>
      <c r="D72" s="41">
        <f aca="true" t="shared" si="6" ref="D72:D77">$C72/$B71</f>
        <v>2.2264660928334562E-15</v>
      </c>
      <c r="E72" s="42">
        <f t="shared" si="2"/>
        <v>0.10339338418628391</v>
      </c>
      <c r="F72" s="3">
        <v>372.4</v>
      </c>
      <c r="G72" s="43">
        <f t="shared" si="3"/>
        <v>2.3899999999999864</v>
      </c>
      <c r="H72" s="41">
        <f t="shared" si="4"/>
        <v>0.006459284884192283</v>
      </c>
      <c r="I72" s="42">
        <f t="shared" si="5"/>
        <v>0.08173691537362951</v>
      </c>
    </row>
    <row r="73" spans="1:9" ht="18.75">
      <c r="A73" s="16" t="s">
        <v>147</v>
      </c>
      <c r="B73" s="13">
        <v>11.1697168134075</v>
      </c>
      <c r="C73" s="40">
        <f t="shared" si="0"/>
        <v>0</v>
      </c>
      <c r="D73" s="41">
        <f t="shared" si="6"/>
        <v>0</v>
      </c>
      <c r="E73" s="42">
        <f t="shared" si="2"/>
        <v>0.10339338418628391</v>
      </c>
      <c r="F73" s="3">
        <v>373.37</v>
      </c>
      <c r="G73" s="43">
        <f t="shared" si="3"/>
        <v>0.9700000000000273</v>
      </c>
      <c r="H73" s="41">
        <f t="shared" si="4"/>
        <v>0.002604726100966776</v>
      </c>
      <c r="I73" s="42">
        <f t="shared" si="5"/>
        <v>0.08434164147459629</v>
      </c>
    </row>
    <row r="74" spans="1:9" ht="18.75">
      <c r="A74" s="16" t="s">
        <v>148</v>
      </c>
      <c r="B74" s="13">
        <v>11.150408812171763</v>
      </c>
      <c r="C74" s="40">
        <f t="shared" si="0"/>
        <v>-0.019308001235737393</v>
      </c>
      <c r="D74" s="41">
        <f t="shared" si="6"/>
        <v>-0.001728602574110129</v>
      </c>
      <c r="E74" s="42">
        <f t="shared" si="2"/>
        <v>0.10166478161217378</v>
      </c>
      <c r="F74" s="3">
        <v>373.28</v>
      </c>
      <c r="G74" s="43">
        <f t="shared" si="3"/>
        <v>-0.09000000000003183</v>
      </c>
      <c r="H74" s="41">
        <f t="shared" si="4"/>
        <v>-0.00024104775423850828</v>
      </c>
      <c r="I74" s="42">
        <f t="shared" si="5"/>
        <v>0.08410059372035777</v>
      </c>
    </row>
    <row r="75" spans="1:9" ht="18.75">
      <c r="A75" s="16" t="s">
        <v>149</v>
      </c>
      <c r="B75" s="13">
        <v>11.227640817114612</v>
      </c>
      <c r="C75" s="40">
        <f t="shared" si="0"/>
        <v>0.07723200494284832</v>
      </c>
      <c r="D75" s="41">
        <f t="shared" si="6"/>
        <v>0.0069263832603645905</v>
      </c>
      <c r="E75" s="42">
        <f t="shared" si="2"/>
        <v>0.10859116487253836</v>
      </c>
      <c r="F75" s="3">
        <v>379.1</v>
      </c>
      <c r="G75" s="43">
        <f t="shared" si="3"/>
        <v>5.82000000000005</v>
      </c>
      <c r="H75" s="41">
        <f t="shared" si="4"/>
        <v>0.01559151307329632</v>
      </c>
      <c r="I75" s="42">
        <f t="shared" si="5"/>
        <v>0.09969210679365409</v>
      </c>
    </row>
    <row r="76" spans="1:9" ht="18.75">
      <c r="A76" s="16" t="s">
        <v>150</v>
      </c>
      <c r="B76" s="13">
        <v>11.189024814643188</v>
      </c>
      <c r="C76" s="40">
        <f t="shared" si="0"/>
        <v>-0.03861600247142327</v>
      </c>
      <c r="D76" s="41">
        <f t="shared" si="6"/>
        <v>-0.0034393692406475816</v>
      </c>
      <c r="E76" s="42">
        <f t="shared" si="2"/>
        <v>0.10515179563189078</v>
      </c>
      <c r="F76" s="3">
        <v>378.95</v>
      </c>
      <c r="G76" s="43">
        <f t="shared" si="3"/>
        <v>-0.1500000000000341</v>
      </c>
      <c r="H76" s="41">
        <f t="shared" si="4"/>
        <v>-0.0003956739646532158</v>
      </c>
      <c r="I76" s="42">
        <f t="shared" si="5"/>
        <v>0.09929643282900087</v>
      </c>
    </row>
    <row r="77" spans="1:9" ht="18.75">
      <c r="A77" s="16" t="s">
        <v>153</v>
      </c>
      <c r="B77" s="13">
        <v>11.166901984862529</v>
      </c>
      <c r="C77" s="40">
        <f t="shared" si="0"/>
        <v>-0.022122829780659714</v>
      </c>
      <c r="D77" s="41">
        <f t="shared" si="6"/>
        <v>-0.001977190161532875</v>
      </c>
      <c r="E77" s="42">
        <f t="shared" si="2"/>
        <v>0.10317460547035791</v>
      </c>
      <c r="F77" s="3">
        <v>375.48</v>
      </c>
      <c r="G77" s="43">
        <f t="shared" si="3"/>
        <v>-3.4699999999999704</v>
      </c>
      <c r="H77" s="41">
        <f t="shared" si="4"/>
        <v>-0.009156880854993985</v>
      </c>
      <c r="I77" s="42">
        <f t="shared" si="5"/>
        <v>0.09013955197400689</v>
      </c>
    </row>
    <row r="78" spans="1:9" ht="18.75">
      <c r="A78" s="16" t="s">
        <v>154</v>
      </c>
      <c r="B78" s="13">
        <v>11.285261338315218</v>
      </c>
      <c r="C78" s="40">
        <f t="shared" si="0"/>
        <v>0.11835935345268922</v>
      </c>
      <c r="D78" s="41">
        <f aca="true" t="shared" si="7" ref="D78:D83">$C78/$B77</f>
        <v>0.01059912172714806</v>
      </c>
      <c r="E78" s="42">
        <f t="shared" si="2"/>
        <v>0.11377372719750597</v>
      </c>
      <c r="F78" s="3">
        <v>379.14</v>
      </c>
      <c r="G78" s="43">
        <f t="shared" si="3"/>
        <v>3.659999999999968</v>
      </c>
      <c r="H78" s="41">
        <f t="shared" si="4"/>
        <v>0.009747523170341877</v>
      </c>
      <c r="I78" s="42">
        <f t="shared" si="5"/>
        <v>0.09988707514434876</v>
      </c>
    </row>
    <row r="79" spans="1:9" ht="18.75">
      <c r="A79" s="16" t="s">
        <v>160</v>
      </c>
      <c r="B79" s="13">
        <v>11.311035169836957</v>
      </c>
      <c r="C79" s="40">
        <f t="shared" si="0"/>
        <v>0.02577383152173951</v>
      </c>
      <c r="D79" s="41">
        <f t="shared" si="7"/>
        <v>0.0022838488847602796</v>
      </c>
      <c r="E79" s="42">
        <f t="shared" si="2"/>
        <v>0.11605757608226626</v>
      </c>
      <c r="F79" s="3">
        <v>380.26</v>
      </c>
      <c r="G79" s="43">
        <f t="shared" si="3"/>
        <v>1.1200000000000045</v>
      </c>
      <c r="H79" s="41">
        <f t="shared" si="4"/>
        <v>0.0029540539114838965</v>
      </c>
      <c r="I79" s="42">
        <f t="shared" si="5"/>
        <v>0.10284112905583266</v>
      </c>
    </row>
    <row r="80" spans="1:9" ht="18.75">
      <c r="A80" s="16" t="s">
        <v>161</v>
      </c>
      <c r="B80" s="13">
        <v>10.933413736413044</v>
      </c>
      <c r="C80" s="40">
        <f t="shared" si="0"/>
        <v>-0.3776214334239132</v>
      </c>
      <c r="D80" s="41">
        <f t="shared" si="7"/>
        <v>-0.033385223169574534</v>
      </c>
      <c r="E80" s="42">
        <f t="shared" si="2"/>
        <v>0.08267235291269173</v>
      </c>
      <c r="F80" s="3">
        <v>370.25</v>
      </c>
      <c r="G80" s="43">
        <f t="shared" si="3"/>
        <v>-10.009999999999991</v>
      </c>
      <c r="H80" s="41">
        <f t="shared" si="4"/>
        <v>-0.026324094040919347</v>
      </c>
      <c r="I80" s="42">
        <f t="shared" si="5"/>
        <v>0.07651703501491332</v>
      </c>
    </row>
    <row r="81" spans="1:9" ht="18.75">
      <c r="A81" s="16" t="s">
        <v>164</v>
      </c>
      <c r="B81" s="13">
        <v>10.941400699728263</v>
      </c>
      <c r="C81" s="40">
        <f t="shared" si="0"/>
        <v>0.007986963315218532</v>
      </c>
      <c r="D81" s="41">
        <f t="shared" si="7"/>
        <v>0.0007305095652438775</v>
      </c>
      <c r="E81" s="42">
        <f t="shared" si="2"/>
        <v>0.08340286247793562</v>
      </c>
      <c r="F81" s="3">
        <v>368.71</v>
      </c>
      <c r="G81" s="43">
        <f t="shared" si="3"/>
        <v>-1.5400000000000205</v>
      </c>
      <c r="H81" s="41">
        <f t="shared" si="4"/>
        <v>-0.004159351789331588</v>
      </c>
      <c r="I81" s="42">
        <f t="shared" si="5"/>
        <v>0.07235768322558173</v>
      </c>
    </row>
    <row r="82" spans="1:9" ht="18.75">
      <c r="A82" s="16" t="s">
        <v>167</v>
      </c>
      <c r="B82" s="13">
        <v>11.07400192255435</v>
      </c>
      <c r="C82" s="40">
        <f t="shared" si="0"/>
        <v>0.13260122282608755</v>
      </c>
      <c r="D82" s="41">
        <f t="shared" si="7"/>
        <v>0.012119218230384414</v>
      </c>
      <c r="E82" s="42">
        <f t="shared" si="2"/>
        <v>0.09552208070832002</v>
      </c>
      <c r="F82" s="3">
        <v>370.45</v>
      </c>
      <c r="G82" s="43">
        <f t="shared" si="3"/>
        <v>1.740000000000009</v>
      </c>
      <c r="H82" s="41">
        <f t="shared" si="4"/>
        <v>0.004719155976241516</v>
      </c>
      <c r="I82" s="42">
        <f t="shared" si="5"/>
        <v>0.07707683920182325</v>
      </c>
    </row>
    <row r="83" spans="1:9" ht="18.75">
      <c r="A83" s="16" t="s">
        <v>170</v>
      </c>
      <c r="B83" s="13">
        <v>10.956344691838241</v>
      </c>
      <c r="C83" s="40">
        <f t="shared" si="0"/>
        <v>-0.11765723071610878</v>
      </c>
      <c r="D83" s="41">
        <f t="shared" si="7"/>
        <v>-0.01062463520766391</v>
      </c>
      <c r="E83" s="42">
        <f t="shared" si="2"/>
        <v>0.08489744550065612</v>
      </c>
      <c r="F83" s="3">
        <v>371.18</v>
      </c>
      <c r="G83" s="43">
        <f t="shared" si="3"/>
        <v>0.7300000000000182</v>
      </c>
      <c r="H83" s="41">
        <f t="shared" si="4"/>
        <v>0.0019705763260899397</v>
      </c>
      <c r="I83" s="42">
        <f t="shared" si="5"/>
        <v>0.07904741552791318</v>
      </c>
    </row>
    <row r="84" spans="1:9" ht="18.75">
      <c r="A84" s="16" t="s">
        <v>171</v>
      </c>
      <c r="B84" s="13">
        <v>10.767222567232247</v>
      </c>
      <c r="C84" s="40">
        <f t="shared" si="0"/>
        <v>-0.1891221246059942</v>
      </c>
      <c r="D84" s="41">
        <f aca="true" t="shared" si="8" ref="D84:D89">$C84/$B83</f>
        <v>-0.017261425222125204</v>
      </c>
      <c r="E84" s="42">
        <f t="shared" si="2"/>
        <v>0.06763602027853091</v>
      </c>
      <c r="F84" s="3">
        <v>364.42</v>
      </c>
      <c r="G84" s="43">
        <f t="shared" si="3"/>
        <v>-6.759999999999991</v>
      </c>
      <c r="H84" s="41">
        <f t="shared" si="4"/>
        <v>-0.01821218815668945</v>
      </c>
      <c r="I84" s="42">
        <f t="shared" si="5"/>
        <v>0.06083522737122373</v>
      </c>
    </row>
    <row r="85" spans="1:9" ht="18.75">
      <c r="A85" s="16" t="s">
        <v>172</v>
      </c>
      <c r="B85" s="13">
        <v>10.667966984105696</v>
      </c>
      <c r="C85" s="40">
        <f t="shared" si="0"/>
        <v>-0.09925558312655092</v>
      </c>
      <c r="D85" s="41">
        <f t="shared" si="8"/>
        <v>-0.009218308854189955</v>
      </c>
      <c r="E85" s="42">
        <f t="shared" si="2"/>
        <v>0.058417711424340955</v>
      </c>
      <c r="F85" s="3">
        <v>359.53</v>
      </c>
      <c r="G85" s="43">
        <f t="shared" si="3"/>
        <v>-4.890000000000043</v>
      </c>
      <c r="H85" s="41">
        <f t="shared" si="4"/>
        <v>-0.01341858295373482</v>
      </c>
      <c r="I85" s="42">
        <f t="shared" si="5"/>
        <v>0.04741664441748891</v>
      </c>
    </row>
    <row r="86" spans="1:9" ht="18.75">
      <c r="A86" s="16" t="s">
        <v>174</v>
      </c>
      <c r="B86" s="13">
        <v>10.6318126953256</v>
      </c>
      <c r="C86" s="40">
        <f t="shared" si="0"/>
        <v>-0.03615428878009652</v>
      </c>
      <c r="D86" s="41">
        <f t="shared" si="8"/>
        <v>-0.0033890514316329565</v>
      </c>
      <c r="E86" s="42">
        <f t="shared" si="2"/>
        <v>0.055028659992708</v>
      </c>
      <c r="F86" s="3">
        <v>362.09</v>
      </c>
      <c r="G86" s="43">
        <f t="shared" si="3"/>
        <v>2.5600000000000023</v>
      </c>
      <c r="H86" s="41">
        <f t="shared" si="4"/>
        <v>0.007120407198286659</v>
      </c>
      <c r="I86" s="42">
        <f t="shared" si="5"/>
        <v>0.05453705161577557</v>
      </c>
    </row>
    <row r="87" spans="1:9" ht="18.75">
      <c r="A87" s="16" t="s">
        <v>176</v>
      </c>
      <c r="B87" s="13">
        <v>10.199681677955871</v>
      </c>
      <c r="C87" s="40">
        <f t="shared" si="0"/>
        <v>-0.4321310173697288</v>
      </c>
      <c r="D87" s="41">
        <f t="shared" si="8"/>
        <v>-0.04064509315139837</v>
      </c>
      <c r="E87" s="42">
        <f t="shared" si="2"/>
        <v>0.014383566841309627</v>
      </c>
      <c r="F87" s="3">
        <v>356.76</v>
      </c>
      <c r="G87" s="43">
        <f t="shared" si="3"/>
        <v>-5.329999999999984</v>
      </c>
      <c r="H87" s="41">
        <f t="shared" si="4"/>
        <v>-0.01472009721339994</v>
      </c>
      <c r="I87" s="42">
        <f t="shared" si="5"/>
        <v>0.039816954402375634</v>
      </c>
    </row>
    <row r="88" spans="1:9" ht="18.75">
      <c r="A88" s="16" t="s">
        <v>178</v>
      </c>
      <c r="B88" s="13">
        <v>10.099036181342635</v>
      </c>
      <c r="C88" s="40">
        <f t="shared" si="0"/>
        <v>-0.10064549661323596</v>
      </c>
      <c r="D88" s="41">
        <f t="shared" si="8"/>
        <v>-0.00986751349610809</v>
      </c>
      <c r="E88" s="42">
        <f t="shared" si="2"/>
        <v>0.0045160533452015365</v>
      </c>
      <c r="F88" s="3">
        <v>356.02</v>
      </c>
      <c r="G88" s="43">
        <f t="shared" si="3"/>
        <v>-0.7400000000000091</v>
      </c>
      <c r="H88" s="41">
        <f t="shared" si="4"/>
        <v>-0.002074223567664562</v>
      </c>
      <c r="I88" s="42">
        <f t="shared" si="5"/>
        <v>0.03774273083471107</v>
      </c>
    </row>
    <row r="89" spans="1:9" ht="18.75">
      <c r="A89" s="16" t="s">
        <v>179</v>
      </c>
      <c r="B89" s="13">
        <v>10.14726285963383</v>
      </c>
      <c r="C89" s="40">
        <f t="shared" si="0"/>
        <v>0.04822667829119531</v>
      </c>
      <c r="D89" s="41">
        <f t="shared" si="8"/>
        <v>0.004775374345156938</v>
      </c>
      <c r="E89" s="42">
        <f t="shared" si="2"/>
        <v>0.009291427690358475</v>
      </c>
      <c r="F89" s="3">
        <v>358.89</v>
      </c>
      <c r="G89" s="43">
        <f t="shared" si="3"/>
        <v>2.8700000000000045</v>
      </c>
      <c r="H89" s="41">
        <f t="shared" si="4"/>
        <v>0.008061344868265841</v>
      </c>
      <c r="I89" s="42">
        <f t="shared" si="5"/>
        <v>0.04580407570297691</v>
      </c>
    </row>
    <row r="90" spans="1:9" ht="18.75">
      <c r="A90" s="16" t="s">
        <v>183</v>
      </c>
      <c r="B90" s="13">
        <v>10.249445263658606</v>
      </c>
      <c r="C90" s="40">
        <f t="shared" si="0"/>
        <v>0.10218240402477541</v>
      </c>
      <c r="D90" s="41">
        <f aca="true" t="shared" si="9" ref="D90:D113">$C90/$B89</f>
        <v>0.010069947476305224</v>
      </c>
      <c r="E90" s="42">
        <f t="shared" si="2"/>
        <v>0.019361375166663697</v>
      </c>
      <c r="F90" s="3">
        <v>361.32</v>
      </c>
      <c r="G90" s="43">
        <f t="shared" si="3"/>
        <v>2.430000000000007</v>
      </c>
      <c r="H90" s="41">
        <f t="shared" si="4"/>
        <v>0.006770876870350266</v>
      </c>
      <c r="I90" s="42">
        <f t="shared" si="5"/>
        <v>0.05257495257332718</v>
      </c>
    </row>
    <row r="91" spans="1:9" ht="18.75">
      <c r="A91" s="16" t="s">
        <v>186</v>
      </c>
      <c r="B91" s="13">
        <v>10.533635322098396</v>
      </c>
      <c r="C91" s="40">
        <f t="shared" si="0"/>
        <v>0.2841900584397905</v>
      </c>
      <c r="D91" s="41">
        <f t="shared" si="9"/>
        <v>0.027727359981855937</v>
      </c>
      <c r="E91" s="42">
        <f t="shared" si="2"/>
        <v>0.047088735148519634</v>
      </c>
      <c r="F91" s="3">
        <v>367.67</v>
      </c>
      <c r="G91" s="43">
        <f t="shared" si="3"/>
        <v>6.350000000000023</v>
      </c>
      <c r="H91" s="41">
        <f t="shared" si="4"/>
        <v>0.017574449241669496</v>
      </c>
      <c r="I91" s="42">
        <f t="shared" si="5"/>
        <v>0.07014940181499668</v>
      </c>
    </row>
    <row r="92" spans="1:9" ht="18.75">
      <c r="A92" s="16" t="s">
        <v>188</v>
      </c>
      <c r="B92" s="13">
        <v>10.581796896939064</v>
      </c>
      <c r="C92" s="40">
        <f t="shared" si="0"/>
        <v>0.04816157484066785</v>
      </c>
      <c r="D92" s="41">
        <f t="shared" si="9"/>
        <v>0.004572170325626351</v>
      </c>
      <c r="E92" s="42">
        <f t="shared" si="2"/>
        <v>0.051660905474145986</v>
      </c>
      <c r="F92" s="3">
        <v>364.55</v>
      </c>
      <c r="G92" s="43">
        <f t="shared" si="3"/>
        <v>-3.1200000000000045</v>
      </c>
      <c r="H92" s="41">
        <f t="shared" si="4"/>
        <v>-0.008485870481681954</v>
      </c>
      <c r="I92" s="42">
        <f t="shared" si="5"/>
        <v>0.06166353133331473</v>
      </c>
    </row>
    <row r="93" spans="1:9" ht="18.75">
      <c r="A93" s="16" t="s">
        <v>198</v>
      </c>
      <c r="B93" s="13">
        <v>10.546401755124966</v>
      </c>
      <c r="C93" s="40">
        <f t="shared" si="0"/>
        <v>-0.03539514181409764</v>
      </c>
      <c r="D93" s="41">
        <f t="shared" si="9"/>
        <v>-0.0033449084459687742</v>
      </c>
      <c r="E93" s="42">
        <f t="shared" si="2"/>
        <v>0.04831599702817721</v>
      </c>
      <c r="F93" s="3">
        <v>359.9</v>
      </c>
      <c r="G93" s="43">
        <f t="shared" si="3"/>
        <v>-4.650000000000034</v>
      </c>
      <c r="H93" s="41">
        <f t="shared" si="4"/>
        <v>-0.012755451927033421</v>
      </c>
      <c r="I93" s="42">
        <f t="shared" si="5"/>
        <v>0.04890807940628131</v>
      </c>
    </row>
    <row r="94" spans="1:9" ht="18.75">
      <c r="A94" s="16" t="s">
        <v>199</v>
      </c>
      <c r="B94" s="13">
        <v>10.499471117663578</v>
      </c>
      <c r="C94" s="40">
        <f t="shared" si="0"/>
        <v>-0.04693063746138826</v>
      </c>
      <c r="D94" s="41">
        <f t="shared" si="9"/>
        <v>-0.00444991937070694</v>
      </c>
      <c r="E94" s="42">
        <f t="shared" si="2"/>
        <v>0.04386607765747027</v>
      </c>
      <c r="F94" s="3">
        <v>358.96</v>
      </c>
      <c r="G94" s="43">
        <f t="shared" si="3"/>
        <v>-0.9399999999999977</v>
      </c>
      <c r="H94" s="41">
        <f t="shared" si="4"/>
        <v>-0.0026118366212836835</v>
      </c>
      <c r="I94" s="42">
        <f t="shared" si="5"/>
        <v>0.046296242784997624</v>
      </c>
    </row>
    <row r="95" spans="1:9" ht="18.75">
      <c r="A95" s="16" t="s">
        <v>202</v>
      </c>
      <c r="B95" s="13">
        <v>10.43069566835159</v>
      </c>
      <c r="C95" s="40">
        <f t="shared" si="0"/>
        <v>-0.06877544931198898</v>
      </c>
      <c r="D95" s="41">
        <f t="shared" si="9"/>
        <v>-0.006550372732230861</v>
      </c>
      <c r="E95" s="42">
        <f t="shared" si="2"/>
        <v>0.03731570492523941</v>
      </c>
      <c r="F95" s="3">
        <v>358.48</v>
      </c>
      <c r="G95" s="43">
        <f t="shared" si="3"/>
        <v>-0.47999999999996135</v>
      </c>
      <c r="H95" s="41">
        <f t="shared" si="4"/>
        <v>-0.0013371963449965495</v>
      </c>
      <c r="I95" s="42">
        <f t="shared" si="5"/>
        <v>0.04495904644000107</v>
      </c>
    </row>
    <row r="96" spans="1:9" ht="18.75">
      <c r="A96" s="16" t="s">
        <v>204</v>
      </c>
      <c r="B96" s="13">
        <v>10.339429170176919</v>
      </c>
      <c r="C96" s="40">
        <f t="shared" si="0"/>
        <v>-0.09126649817467047</v>
      </c>
      <c r="D96" s="41">
        <f t="shared" si="9"/>
        <v>-0.008749799733069361</v>
      </c>
      <c r="E96" s="42">
        <f t="shared" si="2"/>
        <v>0.02856590519217005</v>
      </c>
      <c r="F96" s="3">
        <v>353.29</v>
      </c>
      <c r="G96" s="43">
        <f t="shared" si="3"/>
        <v>-5.189999999999998</v>
      </c>
      <c r="H96" s="41">
        <f t="shared" si="4"/>
        <v>-0.014477795135014498</v>
      </c>
      <c r="I96" s="42">
        <f t="shared" si="5"/>
        <v>0.030481251304986575</v>
      </c>
    </row>
    <row r="97" spans="1:9" ht="18.75">
      <c r="A97" s="16" t="s">
        <v>207</v>
      </c>
      <c r="B97" s="13">
        <v>10.285915901432183</v>
      </c>
      <c r="C97" s="40">
        <f t="shared" si="0"/>
        <v>-0.0535132687447355</v>
      </c>
      <c r="D97" s="41">
        <f t="shared" si="9"/>
        <v>-0.005175650208919592</v>
      </c>
      <c r="E97" s="42">
        <f t="shared" si="2"/>
        <v>0.02339025498325046</v>
      </c>
      <c r="F97" s="3">
        <v>350.98</v>
      </c>
      <c r="G97" s="43">
        <f t="shared" si="3"/>
        <v>-2.3100000000000023</v>
      </c>
      <c r="H97" s="41">
        <f t="shared" si="4"/>
        <v>-0.006538537745195172</v>
      </c>
      <c r="I97" s="42">
        <f t="shared" si="5"/>
        <v>0.023942713559791405</v>
      </c>
    </row>
    <row r="98" spans="1:9" ht="18.75">
      <c r="A98" s="16" t="s">
        <v>209</v>
      </c>
      <c r="B98" s="13">
        <v>10.285915901432183</v>
      </c>
      <c r="C98" s="40">
        <f t="shared" si="0"/>
        <v>0</v>
      </c>
      <c r="D98" s="41">
        <f t="shared" si="9"/>
        <v>0</v>
      </c>
      <c r="E98" s="42">
        <f t="shared" si="2"/>
        <v>0.02339025498325046</v>
      </c>
      <c r="F98" s="3">
        <v>352.44</v>
      </c>
      <c r="G98" s="43">
        <f t="shared" si="3"/>
        <v>1.4599999999999795</v>
      </c>
      <c r="H98" s="41">
        <f t="shared" si="4"/>
        <v>0.004159781184112996</v>
      </c>
      <c r="I98" s="42">
        <f t="shared" si="5"/>
        <v>0.028102494743904402</v>
      </c>
    </row>
    <row r="99" spans="1:9" ht="18.75">
      <c r="A99" s="16" t="s">
        <v>211</v>
      </c>
      <c r="B99" s="13">
        <v>10.285839954935312</v>
      </c>
      <c r="C99" s="40">
        <f t="shared" si="0"/>
        <v>-7.59464968709267E-05</v>
      </c>
      <c r="D99" s="41">
        <f t="shared" si="9"/>
        <v>-7.38354246706918E-06</v>
      </c>
      <c r="E99" s="42">
        <f t="shared" si="2"/>
        <v>0.023382871440783392</v>
      </c>
      <c r="F99" s="3">
        <v>353.48</v>
      </c>
      <c r="G99" s="43">
        <f t="shared" si="3"/>
        <v>1.0400000000000205</v>
      </c>
      <c r="H99" s="41">
        <f t="shared" si="4"/>
        <v>0.002950856883441211</v>
      </c>
      <c r="I99" s="42">
        <f t="shared" si="5"/>
        <v>0.031053351627345613</v>
      </c>
    </row>
    <row r="100" spans="1:9" ht="18.75">
      <c r="A100" s="16" t="s">
        <v>213</v>
      </c>
      <c r="B100" s="13">
        <v>10.285839954935312</v>
      </c>
      <c r="C100" s="40">
        <f t="shared" si="0"/>
        <v>0</v>
      </c>
      <c r="D100" s="41">
        <f t="shared" si="9"/>
        <v>0</v>
      </c>
      <c r="E100" s="42">
        <f t="shared" si="2"/>
        <v>0.023382871440783392</v>
      </c>
      <c r="F100" s="3">
        <v>358.24</v>
      </c>
      <c r="G100" s="43">
        <f t="shared" si="3"/>
        <v>4.759999999999991</v>
      </c>
      <c r="H100" s="41">
        <f t="shared" si="4"/>
        <v>0.013466108407830685</v>
      </c>
      <c r="I100" s="42">
        <f t="shared" si="5"/>
        <v>0.044519460035176296</v>
      </c>
    </row>
    <row r="101" spans="1:9" ht="18.75">
      <c r="A101" s="16" t="s">
        <v>215</v>
      </c>
      <c r="B101" s="13">
        <v>10.2858399549353</v>
      </c>
      <c r="C101" s="40">
        <f t="shared" si="0"/>
        <v>0</v>
      </c>
      <c r="D101" s="41">
        <f t="shared" si="9"/>
        <v>0</v>
      </c>
      <c r="E101" s="42">
        <f t="shared" si="2"/>
        <v>0.023382871440783392</v>
      </c>
      <c r="F101" s="3">
        <v>354.61</v>
      </c>
      <c r="G101" s="43">
        <f t="shared" si="3"/>
        <v>-3.6299999999999955</v>
      </c>
      <c r="H101" s="41">
        <f t="shared" si="4"/>
        <v>-0.01013287181777578</v>
      </c>
      <c r="I101" s="42">
        <f t="shared" si="5"/>
        <v>0.03438658821740052</v>
      </c>
    </row>
    <row r="102" spans="1:9" ht="18.75">
      <c r="A102" s="16" t="s">
        <v>217</v>
      </c>
      <c r="B102" s="13">
        <v>10.2858399549353</v>
      </c>
      <c r="C102" s="40">
        <f t="shared" si="0"/>
        <v>0</v>
      </c>
      <c r="D102" s="41">
        <f t="shared" si="9"/>
        <v>0</v>
      </c>
      <c r="E102" s="42">
        <f t="shared" si="2"/>
        <v>0.023382871440783392</v>
      </c>
      <c r="F102" s="3">
        <v>362.85</v>
      </c>
      <c r="G102" s="43">
        <f t="shared" si="3"/>
        <v>8.240000000000009</v>
      </c>
      <c r="H102" s="41">
        <f t="shared" si="4"/>
        <v>0.023236795352640956</v>
      </c>
      <c r="I102" s="42">
        <f t="shared" si="5"/>
        <v>0.05762338357004147</v>
      </c>
    </row>
    <row r="103" spans="1:9" ht="18.75">
      <c r="A103" s="16" t="s">
        <v>219</v>
      </c>
      <c r="B103" s="13">
        <v>10.2858399549353</v>
      </c>
      <c r="C103" s="40">
        <f t="shared" si="0"/>
        <v>0</v>
      </c>
      <c r="D103" s="41">
        <f t="shared" si="9"/>
        <v>0</v>
      </c>
      <c r="E103" s="42">
        <f t="shared" si="2"/>
        <v>0.023382871440783392</v>
      </c>
      <c r="F103" s="3">
        <v>361.13</v>
      </c>
      <c r="G103" s="43">
        <f t="shared" si="3"/>
        <v>-1.7200000000000273</v>
      </c>
      <c r="H103" s="41">
        <f t="shared" si="4"/>
        <v>-0.004740250792338507</v>
      </c>
      <c r="I103" s="42">
        <f t="shared" si="5"/>
        <v>0.052883132777702964</v>
      </c>
    </row>
    <row r="104" spans="1:9" ht="18.75">
      <c r="A104" s="16" t="s">
        <v>223</v>
      </c>
      <c r="B104" s="13">
        <v>10.128492956825122</v>
      </c>
      <c r="C104" s="40">
        <f t="shared" si="0"/>
        <v>-0.15734699811017805</v>
      </c>
      <c r="D104" s="41">
        <f t="shared" si="9"/>
        <v>-0.015297437914604204</v>
      </c>
      <c r="E104" s="42">
        <f t="shared" si="2"/>
        <v>0.008085433526179188</v>
      </c>
      <c r="F104" s="3">
        <v>364.1</v>
      </c>
      <c r="G104" s="43">
        <f t="shared" si="3"/>
        <v>2.9700000000000273</v>
      </c>
      <c r="H104" s="41">
        <f t="shared" si="4"/>
        <v>0.008224185196466722</v>
      </c>
      <c r="I104" s="42">
        <f t="shared" si="5"/>
        <v>0.061107317974169684</v>
      </c>
    </row>
    <row r="105" spans="1:9" ht="18.75">
      <c r="A105" s="16" t="s">
        <v>227</v>
      </c>
      <c r="B105" s="13">
        <v>9.931459230992877</v>
      </c>
      <c r="C105" s="40">
        <f t="shared" si="0"/>
        <v>-0.1970337258322452</v>
      </c>
      <c r="D105" s="41">
        <f t="shared" si="9"/>
        <v>-0.01945340996653143</v>
      </c>
      <c r="E105" s="42">
        <f t="shared" si="2"/>
        <v>-0.011367976440352241</v>
      </c>
      <c r="F105" s="3">
        <v>363.62</v>
      </c>
      <c r="G105" s="43">
        <f t="shared" si="3"/>
        <v>-0.4800000000000182</v>
      </c>
      <c r="H105" s="41">
        <f t="shared" si="4"/>
        <v>-0.0013183191430926069</v>
      </c>
      <c r="I105" s="42">
        <f t="shared" si="5"/>
        <v>0.05978899883107708</v>
      </c>
    </row>
    <row r="106" spans="1:9" ht="18.75">
      <c r="A106" s="16" t="s">
        <v>231</v>
      </c>
      <c r="B106" s="13">
        <v>9.33887339002762</v>
      </c>
      <c r="C106" s="40">
        <f t="shared" si="0"/>
        <v>-0.5925858409652562</v>
      </c>
      <c r="D106" s="41">
        <f t="shared" si="9"/>
        <v>-0.05966755007320447</v>
      </c>
      <c r="E106" s="42">
        <f t="shared" si="2"/>
        <v>-0.07103552651355671</v>
      </c>
      <c r="F106" s="3">
        <v>361.28</v>
      </c>
      <c r="G106" s="43">
        <f aca="true" t="shared" si="10" ref="G106:G113">$F106-$F105</f>
        <v>-2.340000000000032</v>
      </c>
      <c r="H106" s="41">
        <f aca="true" t="shared" si="11" ref="H106:H113">$G106/$F105</f>
        <v>-0.006435289588031549</v>
      </c>
      <c r="I106" s="42">
        <f aca="true" t="shared" si="12" ref="I106:I113">$I105+$H106</f>
        <v>0.05335370924304553</v>
      </c>
    </row>
    <row r="107" spans="1:9" ht="18.75">
      <c r="A107" s="16" t="s">
        <v>236</v>
      </c>
      <c r="B107" s="13">
        <v>9.410437880964986</v>
      </c>
      <c r="C107" s="40">
        <f t="shared" si="0"/>
        <v>0.07156449093736583</v>
      </c>
      <c r="D107" s="41">
        <f t="shared" si="9"/>
        <v>0.007663075399842655</v>
      </c>
      <c r="E107" s="42">
        <f t="shared" si="2"/>
        <v>-0.06337245111371406</v>
      </c>
      <c r="F107" s="3">
        <v>363.74</v>
      </c>
      <c r="G107" s="43">
        <f t="shared" si="10"/>
        <v>2.4600000000000364</v>
      </c>
      <c r="H107" s="41">
        <f t="shared" si="11"/>
        <v>0.006809123117803467</v>
      </c>
      <c r="I107" s="42">
        <f t="shared" si="12"/>
        <v>0.060162832360848996</v>
      </c>
    </row>
    <row r="108" spans="1:9" ht="18.75">
      <c r="A108" s="16" t="s">
        <v>237</v>
      </c>
      <c r="B108" s="13">
        <v>9.514754601830145</v>
      </c>
      <c r="C108" s="40">
        <f aca="true" t="shared" si="13" ref="C108:C113">$B108-$B107</f>
        <v>0.10431672086515853</v>
      </c>
      <c r="D108" s="41">
        <f t="shared" si="9"/>
        <v>0.011085214331648236</v>
      </c>
      <c r="E108" s="42">
        <f aca="true" t="shared" si="14" ref="E108:E113">$E107+$D108</f>
        <v>-0.05228723678206583</v>
      </c>
      <c r="F108" s="3">
        <v>368.14</v>
      </c>
      <c r="G108" s="43">
        <f t="shared" si="10"/>
        <v>4.399999999999977</v>
      </c>
      <c r="H108" s="41">
        <f t="shared" si="11"/>
        <v>0.012096552482542412</v>
      </c>
      <c r="I108" s="42">
        <f t="shared" si="12"/>
        <v>0.07225938484339141</v>
      </c>
    </row>
    <row r="109" spans="1:9" ht="18.75">
      <c r="A109" s="16" t="s">
        <v>238</v>
      </c>
      <c r="B109" s="13">
        <v>9.514754601830145</v>
      </c>
      <c r="C109" s="40">
        <f t="shared" si="13"/>
        <v>0</v>
      </c>
      <c r="D109" s="41">
        <f t="shared" si="9"/>
        <v>0</v>
      </c>
      <c r="E109" s="42">
        <f t="shared" si="14"/>
        <v>-0.05228723678206583</v>
      </c>
      <c r="F109" s="3">
        <v>368.94</v>
      </c>
      <c r="G109" s="43">
        <f t="shared" si="10"/>
        <v>0.8000000000000114</v>
      </c>
      <c r="H109" s="41">
        <f t="shared" si="11"/>
        <v>0.0021730863258543256</v>
      </c>
      <c r="I109" s="42">
        <f t="shared" si="12"/>
        <v>0.07443247116924573</v>
      </c>
    </row>
    <row r="110" spans="1:9" ht="18.75">
      <c r="A110" s="16" t="s">
        <v>242</v>
      </c>
      <c r="B110" s="13">
        <v>9.514754601830145</v>
      </c>
      <c r="C110" s="40">
        <f t="shared" si="13"/>
        <v>0</v>
      </c>
      <c r="D110" s="41">
        <f t="shared" si="9"/>
        <v>0</v>
      </c>
      <c r="E110" s="42">
        <f t="shared" si="14"/>
        <v>-0.05228723678206583</v>
      </c>
      <c r="F110" s="3">
        <v>369.53</v>
      </c>
      <c r="G110" s="43">
        <f t="shared" si="10"/>
        <v>0.589999999999975</v>
      </c>
      <c r="H110" s="41">
        <f t="shared" si="11"/>
        <v>0.001599176017780601</v>
      </c>
      <c r="I110" s="42">
        <f t="shared" si="12"/>
        <v>0.07603164718702633</v>
      </c>
    </row>
    <row r="111" spans="1:9" ht="18.75">
      <c r="A111" s="16" t="s">
        <v>243</v>
      </c>
      <c r="B111" s="13">
        <v>8.782665363381986</v>
      </c>
      <c r="C111" s="40">
        <f t="shared" si="13"/>
        <v>-0.7320892384481592</v>
      </c>
      <c r="D111" s="41">
        <f t="shared" si="9"/>
        <v>-0.07694252443540091</v>
      </c>
      <c r="E111" s="42">
        <f t="shared" si="14"/>
        <v>-0.12922976121746674</v>
      </c>
      <c r="F111" s="3">
        <v>364.55</v>
      </c>
      <c r="G111" s="43">
        <f t="shared" si="10"/>
        <v>-4.979999999999961</v>
      </c>
      <c r="H111" s="41">
        <f t="shared" si="11"/>
        <v>-0.01347657835629032</v>
      </c>
      <c r="I111" s="42">
        <f t="shared" si="12"/>
        <v>0.06255506883073601</v>
      </c>
    </row>
    <row r="112" spans="1:9" ht="18.75">
      <c r="A112" s="16" t="s">
        <v>245</v>
      </c>
      <c r="B112" s="13">
        <v>8.930135680254102</v>
      </c>
      <c r="C112" s="40">
        <f t="shared" si="13"/>
        <v>0.1474703168721163</v>
      </c>
      <c r="D112" s="41">
        <f t="shared" si="9"/>
        <v>0.016791066352928784</v>
      </c>
      <c r="E112" s="42">
        <f t="shared" si="14"/>
        <v>-0.11243869486453795</v>
      </c>
      <c r="F112" s="3">
        <v>362.22</v>
      </c>
      <c r="G112" s="43">
        <f t="shared" si="10"/>
        <v>-2.329999999999984</v>
      </c>
      <c r="H112" s="41">
        <f t="shared" si="11"/>
        <v>-0.006391441503223108</v>
      </c>
      <c r="I112" s="42">
        <f t="shared" si="12"/>
        <v>0.056163627327512906</v>
      </c>
    </row>
    <row r="113" spans="1:9" ht="18.75">
      <c r="A113" s="16" t="s">
        <v>248</v>
      </c>
      <c r="B113" s="13">
        <v>9.222128609241473</v>
      </c>
      <c r="C113" s="40">
        <f t="shared" si="13"/>
        <v>0.29199292898737106</v>
      </c>
      <c r="D113" s="41">
        <f t="shared" si="9"/>
        <v>0.032697479572792176</v>
      </c>
      <c r="E113" s="42">
        <f t="shared" si="14"/>
        <v>-0.07974121529174577</v>
      </c>
      <c r="F113" s="3">
        <v>363.02</v>
      </c>
      <c r="G113" s="43">
        <f t="shared" si="10"/>
        <v>0.7999999999999545</v>
      </c>
      <c r="H113" s="41">
        <f t="shared" si="11"/>
        <v>0.0022086025067637196</v>
      </c>
      <c r="I113" s="42">
        <f t="shared" si="12"/>
        <v>0.058372229834276625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24" sqref="G24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9.14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182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159</v>
      </c>
      <c r="B3" s="51">
        <v>20000</v>
      </c>
      <c r="C3" s="52">
        <f>((-'Tran.'!$H$143)+(10000*3.71))/20000</f>
        <v>3.7490445999999995</v>
      </c>
      <c r="D3" s="52">
        <v>3.8</v>
      </c>
      <c r="E3" s="52">
        <f>$B3*$D3</f>
        <v>76000</v>
      </c>
      <c r="F3" s="53">
        <f>$E3/$E$19</f>
        <v>0.5038757442679832</v>
      </c>
      <c r="G3" s="52">
        <f>$E3-($B3*$C3)</f>
        <v>1019.1080000000075</v>
      </c>
      <c r="I3" s="54"/>
    </row>
    <row r="4" spans="1:9" s="49" customFormat="1" ht="15" customHeight="1">
      <c r="A4" s="50" t="s">
        <v>142</v>
      </c>
      <c r="B4" s="51">
        <v>1500</v>
      </c>
      <c r="C4" s="55">
        <f>((-'Tran.'!$H$133)+(36.578*500))/1500</f>
        <v>35.07486333333333</v>
      </c>
      <c r="D4" s="52">
        <v>32</v>
      </c>
      <c r="E4" s="52">
        <f>$B4*$D4</f>
        <v>48000</v>
      </c>
      <c r="F4" s="53">
        <f>$E4/$E$19</f>
        <v>0.31823731216925255</v>
      </c>
      <c r="G4" s="52">
        <f>$E4-($B4*$C4)</f>
        <v>-4612.294999999998</v>
      </c>
      <c r="I4" s="54"/>
    </row>
    <row r="5" spans="1:9" s="49" customFormat="1" ht="15" customHeight="1">
      <c r="A5" s="50" t="s">
        <v>32</v>
      </c>
      <c r="B5" s="51">
        <v>500</v>
      </c>
      <c r="C5" s="55">
        <f>-'Tran.'!$H$130/500</f>
        <v>37.07918</v>
      </c>
      <c r="D5" s="52">
        <v>37</v>
      </c>
      <c r="E5" s="52">
        <f>$B5*$D5</f>
        <v>18500</v>
      </c>
      <c r="F5" s="53">
        <f>$E5/$E$19</f>
        <v>0.12265396406523275</v>
      </c>
      <c r="G5" s="52">
        <f>$E5-($B5*$C5)</f>
        <v>-39.590000000000146</v>
      </c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142500</v>
      </c>
      <c r="F10" s="59">
        <f>SUM($F3:$F9)</f>
        <v>0.9447670205024685</v>
      </c>
      <c r="G10" s="56">
        <f>SUM($G3:$G9)</f>
        <v>-3632.776999999991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10330.83650000002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-2000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8330.83650000002</v>
      </c>
      <c r="F17" s="59">
        <f>$E17/$E$19</f>
        <v>0.05523297949753145</v>
      </c>
      <c r="G17" s="83">
        <v>37685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150830.83650000003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</f>
        <v>14716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10.249445263658606</v>
      </c>
      <c r="F21" s="66"/>
      <c r="G21" s="78"/>
      <c r="H21" s="67"/>
    </row>
    <row r="22" ht="15" customHeight="1">
      <c r="G22" s="79"/>
    </row>
    <row r="23" spans="1:8" ht="15" customHeight="1">
      <c r="A23" s="98" t="s">
        <v>155</v>
      </c>
      <c r="B23" s="98"/>
      <c r="C23" s="68"/>
      <c r="D23" s="68"/>
      <c r="E23" s="69">
        <f>2344.89-500-500-90-400-500-100-400-831.39+4200</f>
        <v>3223.5</v>
      </c>
      <c r="H23" s="79"/>
    </row>
    <row r="24" spans="1:5" ht="15" customHeight="1">
      <c r="A24" s="106" t="s">
        <v>191</v>
      </c>
      <c r="B24" s="106"/>
      <c r="C24" s="90"/>
      <c r="D24" s="90"/>
      <c r="E24" s="85">
        <v>1337.4535000000178</v>
      </c>
    </row>
    <row r="25" spans="1:5" ht="15" customHeight="1">
      <c r="A25" s="106" t="s">
        <v>190</v>
      </c>
      <c r="B25" s="106"/>
      <c r="C25" s="90"/>
      <c r="D25" s="90"/>
      <c r="E25" s="91">
        <f>SUM($E$23,$E$24)</f>
        <v>4560.953500000018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154054.33650000003</v>
      </c>
    </row>
  </sheetData>
  <mergeCells count="13">
    <mergeCell ref="A21:B21"/>
    <mergeCell ref="A23:B23"/>
    <mergeCell ref="A26:B26"/>
    <mergeCell ref="A16:B16"/>
    <mergeCell ref="A17:B17"/>
    <mergeCell ref="A19:B19"/>
    <mergeCell ref="A20:B20"/>
    <mergeCell ref="A24:B24"/>
    <mergeCell ref="A25:B25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24" sqref="G24:G25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9.14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184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159</v>
      </c>
      <c r="B3" s="51">
        <v>26500</v>
      </c>
      <c r="C3" s="52">
        <f>((-'Tran.'!$H$143)+(10000*3.71)+(6500*3.87))/26500</f>
        <v>3.778712905660377</v>
      </c>
      <c r="D3" s="52">
        <v>3.84</v>
      </c>
      <c r="E3" s="52">
        <f>$B3*$D3</f>
        <v>101760</v>
      </c>
      <c r="F3" s="53">
        <f>$E3/$E$19</f>
        <v>0.6564611667151939</v>
      </c>
      <c r="G3" s="52">
        <f>$E3-($B3*$C3)</f>
        <v>1624.1080000000075</v>
      </c>
      <c r="I3" s="54"/>
    </row>
    <row r="4" spans="1:9" s="49" customFormat="1" ht="15" customHeight="1">
      <c r="A4" s="50" t="s">
        <v>142</v>
      </c>
      <c r="B4" s="51">
        <v>1500</v>
      </c>
      <c r="C4" s="55">
        <f>((-'Tran.'!$H$133)+(36.578*500))/1500</f>
        <v>35.07486333333333</v>
      </c>
      <c r="D4" s="52">
        <v>34</v>
      </c>
      <c r="E4" s="52">
        <f>$B4*$D4</f>
        <v>51000</v>
      </c>
      <c r="F4" s="53">
        <f>$E4/$E$19</f>
        <v>0.32900471209193094</v>
      </c>
      <c r="G4" s="52">
        <f>$E4-($B4*$C4)</f>
        <v>-1612.2949999999983</v>
      </c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152760</v>
      </c>
      <c r="F10" s="59">
        <f>SUM($F3:$F9)</f>
        <v>0.9854658788071249</v>
      </c>
      <c r="G10" s="56">
        <f>SUM($G3:$G9)</f>
        <v>11.813000000009197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8330.83650000002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-6077.859100000003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2252.977400000016</v>
      </c>
      <c r="F17" s="59">
        <f>$E17/$E$19</f>
        <v>0.014534121192875147</v>
      </c>
      <c r="G17" s="83">
        <v>37686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155012.9774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</f>
        <v>14716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10.533635322098396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2344.89-500-500-90-400-500-100-400-831.39+4200-400-500</f>
        <v>2323.5</v>
      </c>
    </row>
    <row r="24" spans="1:5" ht="15" customHeight="1">
      <c r="A24" s="106" t="s">
        <v>191</v>
      </c>
      <c r="B24" s="106"/>
      <c r="C24" s="90"/>
      <c r="D24" s="90"/>
      <c r="E24" s="85">
        <v>48211.72850000002</v>
      </c>
    </row>
    <row r="25" spans="1:5" ht="15" customHeight="1">
      <c r="A25" s="106" t="s">
        <v>190</v>
      </c>
      <c r="B25" s="106"/>
      <c r="C25" s="90"/>
      <c r="D25" s="90"/>
      <c r="E25" s="91">
        <f>SUM(E23:E24)</f>
        <v>50535.22850000002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157336.4774</v>
      </c>
    </row>
  </sheetData>
  <mergeCells count="13">
    <mergeCell ref="A1:G1"/>
    <mergeCell ref="A10:B10"/>
    <mergeCell ref="A12:B12"/>
    <mergeCell ref="A14:B14"/>
    <mergeCell ref="A21:B21"/>
    <mergeCell ref="A23:B23"/>
    <mergeCell ref="A26:B26"/>
    <mergeCell ref="A16:B16"/>
    <mergeCell ref="A17:B17"/>
    <mergeCell ref="A19:B19"/>
    <mergeCell ref="A20:B20"/>
    <mergeCell ref="A24:B24"/>
    <mergeCell ref="A25:B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187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159</v>
      </c>
      <c r="B3" s="51">
        <v>11500</v>
      </c>
      <c r="C3" s="52">
        <f>((-'Tran.'!$H$143)+(10000*3.71)+(6500*3.87))/26500</f>
        <v>3.778712905660377</v>
      </c>
      <c r="D3" s="52">
        <v>3.92</v>
      </c>
      <c r="E3" s="52">
        <f>$B3*$D3</f>
        <v>45080</v>
      </c>
      <c r="F3" s="53">
        <f>$E3/$E$19</f>
        <v>0.29908354578404817</v>
      </c>
      <c r="G3" s="52">
        <f>$E3-($B3*$C3)</f>
        <v>1624.8015849056683</v>
      </c>
      <c r="I3" s="54"/>
    </row>
    <row r="4" spans="1:9" s="49" customFormat="1" ht="15" customHeight="1">
      <c r="A4" s="50" t="s">
        <v>142</v>
      </c>
      <c r="B4" s="51">
        <v>1500</v>
      </c>
      <c r="C4" s="55">
        <f>((-'Tran.'!$H$133)+(36.578*500))/1500</f>
        <v>35.07486333333333</v>
      </c>
      <c r="D4" s="52">
        <v>33</v>
      </c>
      <c r="E4" s="52">
        <f>$B4*$D4</f>
        <v>49500</v>
      </c>
      <c r="F4" s="53">
        <f>$E4/$E$19</f>
        <v>0.3284080638045782</v>
      </c>
      <c r="G4" s="52">
        <f>$E4-($B4*$C4)</f>
        <v>-3112.2949999999983</v>
      </c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94580</v>
      </c>
      <c r="F10" s="59">
        <f>SUM($F3:$F9)</f>
        <v>0.6274916095886264</v>
      </c>
      <c r="G10" s="56">
        <f>SUM($G3:$G9)</f>
        <v>-1487.49341509433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2252.977400000016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58894.137599999995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-5000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56147.11500000001</v>
      </c>
      <c r="F17" s="59">
        <f>$E17/$E$19</f>
        <v>0.37250839041137357</v>
      </c>
      <c r="G17" s="83">
        <v>37687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150727.11500000002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</f>
        <v>14244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10.581796896939064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2344.89-500-500-90-400-500-100-400-831.39+4200-400-500</f>
        <v>2323.5</v>
      </c>
    </row>
    <row r="24" spans="1:5" ht="15" customHeight="1">
      <c r="A24" s="106" t="s">
        <v>191</v>
      </c>
      <c r="B24" s="106"/>
      <c r="C24" s="90"/>
      <c r="D24" s="90"/>
      <c r="E24" s="85">
        <v>10330.83650000002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12654.33650000002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153050.61500000002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1:B21"/>
    <mergeCell ref="A23:B23"/>
    <mergeCell ref="A26:B26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194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142</v>
      </c>
      <c r="B3" s="51">
        <v>1500</v>
      </c>
      <c r="C3" s="55">
        <f>((-'Tran.'!$H$133)+(36.578*500))/1500</f>
        <v>35.07486333333333</v>
      </c>
      <c r="D3" s="52">
        <v>32</v>
      </c>
      <c r="E3" s="52">
        <f>$B3*$D3</f>
        <v>48000</v>
      </c>
      <c r="F3" s="53">
        <f>$E3/$E$19</f>
        <v>0.3195250864557332</v>
      </c>
      <c r="G3" s="52">
        <f>$E3-($B3*$C3)</f>
        <v>-4612.294999999998</v>
      </c>
      <c r="I3" s="54"/>
    </row>
    <row r="4" spans="1:9" s="49" customFormat="1" ht="15" customHeight="1">
      <c r="A4" s="50" t="s">
        <v>195</v>
      </c>
      <c r="B4" s="51">
        <v>10000</v>
      </c>
      <c r="C4" s="55">
        <f>-'Tran.'!$H$154/10000</f>
        <v>3.9684744</v>
      </c>
      <c r="D4" s="52">
        <v>3.94</v>
      </c>
      <c r="E4" s="52">
        <f>$B4*$D4</f>
        <v>39400</v>
      </c>
      <c r="F4" s="53">
        <f>$E4/$E$19</f>
        <v>0.262276841799081</v>
      </c>
      <c r="G4" s="52">
        <f>$E4-($B4*$C4)</f>
        <v>-284.7439999999988</v>
      </c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87400</v>
      </c>
      <c r="F10" s="59">
        <f>SUM($F3:$F9)</f>
        <v>0.5818019282548141</v>
      </c>
      <c r="G10" s="56">
        <f>SUM($G3:$G9)</f>
        <v>-4897.038999999997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56147.11500000001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6675.831600000005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62822.94660000002</v>
      </c>
      <c r="F17" s="59">
        <f>$E17/$E$19</f>
        <v>0.41819807174518575</v>
      </c>
      <c r="G17" s="83">
        <v>37690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150222.94660000002</v>
      </c>
      <c r="F19" s="59">
        <f>SUM($F10,$F17)</f>
        <v>0.9999999999999999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</f>
        <v>14244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10.546401755124966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2323.5+2000</f>
        <v>4323.5</v>
      </c>
    </row>
    <row r="24" spans="1:5" ht="15" customHeight="1">
      <c r="A24" s="106" t="s">
        <v>191</v>
      </c>
      <c r="B24" s="106"/>
      <c r="C24" s="90"/>
      <c r="D24" s="90"/>
      <c r="E24" s="85">
        <v>8330.83650000002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12654.33650000002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154546.44660000002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197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142</v>
      </c>
      <c r="B3" s="51">
        <v>2500</v>
      </c>
      <c r="C3" s="55">
        <f>((-'Tran.'!$H$133)+(36.578*500)+(-'Tran.'!$H$156))/2500</f>
        <v>33.87231</v>
      </c>
      <c r="D3" s="52">
        <v>32</v>
      </c>
      <c r="E3" s="52">
        <f>$B3*$D3</f>
        <v>80000</v>
      </c>
      <c r="F3" s="53">
        <f>$E3/$E$19</f>
        <v>0.5349221712914055</v>
      </c>
      <c r="G3" s="52">
        <f>$E3-($B3*$C3)</f>
        <v>-4680.774999999994</v>
      </c>
      <c r="I3" s="54"/>
    </row>
    <row r="4" spans="1:9" s="49" customFormat="1" ht="15" customHeight="1">
      <c r="A4" s="50" t="s">
        <v>195</v>
      </c>
      <c r="B4" s="51">
        <v>10000</v>
      </c>
      <c r="C4" s="55">
        <f>-'Tran.'!$H$154/10000</f>
        <v>3.9684744</v>
      </c>
      <c r="D4" s="52">
        <v>3.88</v>
      </c>
      <c r="E4" s="52">
        <f>$B4*$D4</f>
        <v>38800</v>
      </c>
      <c r="F4" s="53">
        <f>$E4/$E$19</f>
        <v>0.2594372530763317</v>
      </c>
      <c r="G4" s="52">
        <f>$E4-($B4*$C4)</f>
        <v>-884.7439999999988</v>
      </c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118800</v>
      </c>
      <c r="F10" s="59">
        <f>SUM($F3:$F9)</f>
        <v>0.7943594243677372</v>
      </c>
      <c r="G10" s="56">
        <f>SUM($G3:$G9)</f>
        <v>-5565.518999999993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62822.94660000002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-32068.48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30754.466600000018</v>
      </c>
      <c r="F17" s="59">
        <f>$E17/$E$19</f>
        <v>0.20564057563226276</v>
      </c>
      <c r="G17" s="83">
        <v>37691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149554.4666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</f>
        <v>14244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10.499471117663578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2323.5+2000</f>
        <v>4323.5</v>
      </c>
    </row>
    <row r="24" spans="1:5" ht="15" customHeight="1">
      <c r="A24" s="106" t="s">
        <v>191</v>
      </c>
      <c r="B24" s="106"/>
      <c r="C24" s="90"/>
      <c r="D24" s="90"/>
      <c r="E24" s="85">
        <v>2252.977400000016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6576.477400000016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153877.9666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7" sqref="E17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201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142</v>
      </c>
      <c r="B3" s="51">
        <v>500</v>
      </c>
      <c r="C3" s="55">
        <f>((-'Tran.'!$H$133)+(36.578*500)+(-'Tran.'!$H$156))/2500</f>
        <v>33.87231</v>
      </c>
      <c r="D3" s="52">
        <v>32</v>
      </c>
      <c r="E3" s="52">
        <f>$B3*$D3</f>
        <v>16000</v>
      </c>
      <c r="F3" s="53">
        <f>$E3/$E$19</f>
        <v>0.10768984286854547</v>
      </c>
      <c r="G3" s="52">
        <f>$E3-($B3*$C3)</f>
        <v>-936.1549999999988</v>
      </c>
      <c r="I3" s="54"/>
    </row>
    <row r="4" spans="1:9" s="49" customFormat="1" ht="15" customHeight="1">
      <c r="A4" s="50" t="s">
        <v>195</v>
      </c>
      <c r="B4" s="51">
        <v>10000</v>
      </c>
      <c r="C4" s="55">
        <f>-'Tran.'!$H$154/10000</f>
        <v>3.9684744</v>
      </c>
      <c r="D4" s="52">
        <v>3.84</v>
      </c>
      <c r="E4" s="52">
        <f>$B4*$D4</f>
        <v>38400</v>
      </c>
      <c r="F4" s="53">
        <f>$E4/$E$19</f>
        <v>0.25845562288450913</v>
      </c>
      <c r="G4" s="52">
        <f>$E4-($B4*$C4)</f>
        <v>-1284.7439999999988</v>
      </c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54400</v>
      </c>
      <c r="F10" s="59">
        <f>SUM($F3:$F9)</f>
        <v>0.3661454657530546</v>
      </c>
      <c r="G10" s="56">
        <f>SUM($G3:$G9)</f>
        <v>-2220.8989999999976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30754.466600000018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63420.36250000001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94174.82910000003</v>
      </c>
      <c r="F17" s="59">
        <f>$E17/$E$19</f>
        <v>0.6338545342469454</v>
      </c>
      <c r="G17" s="83">
        <v>37692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148574.82910000003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</f>
        <v>14244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10.43069566835159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f>2323.5+2000+5000-6000</f>
        <v>3323.5</v>
      </c>
    </row>
    <row r="24" spans="1:5" ht="15" customHeight="1">
      <c r="A24" s="106" t="s">
        <v>191</v>
      </c>
      <c r="B24" s="106"/>
      <c r="C24" s="90"/>
      <c r="D24" s="90"/>
      <c r="E24" s="85">
        <v>56147.11500000001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59470.61500000001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151898.32910000003</v>
      </c>
    </row>
  </sheetData>
  <mergeCells count="13">
    <mergeCell ref="A1:G1"/>
    <mergeCell ref="A10:B10"/>
    <mergeCell ref="A12:B12"/>
    <mergeCell ref="A14:B14"/>
    <mergeCell ref="A16:B16"/>
    <mergeCell ref="A17:B17"/>
    <mergeCell ref="A19:B19"/>
    <mergeCell ref="A20:B20"/>
    <mergeCell ref="A26:B26"/>
    <mergeCell ref="A21:B21"/>
    <mergeCell ref="A23:B23"/>
    <mergeCell ref="A24:B24"/>
    <mergeCell ref="A25:B2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3" sqref="E3:G3"/>
    </sheetView>
  </sheetViews>
  <sheetFormatPr defaultColWidth="9.140625" defaultRowHeight="15" customHeight="1"/>
  <cols>
    <col min="1" max="1" width="10.7109375" style="64" customWidth="1"/>
    <col min="2" max="2" width="10.28125" style="64" customWidth="1"/>
    <col min="3" max="3" width="10.00390625" style="64" customWidth="1"/>
    <col min="4" max="4" width="11.140625" style="64" customWidth="1"/>
    <col min="5" max="5" width="12.57421875" style="64" customWidth="1"/>
    <col min="6" max="6" width="10.57421875" style="64" customWidth="1"/>
    <col min="7" max="7" width="13.00390625" style="64" customWidth="1"/>
    <col min="8" max="8" width="12.00390625" style="64" customWidth="1"/>
    <col min="9" max="9" width="9.8515625" style="64" customWidth="1"/>
    <col min="10" max="16384" width="9.140625" style="64" customWidth="1"/>
  </cols>
  <sheetData>
    <row r="1" spans="1:7" s="47" customFormat="1" ht="15" customHeight="1">
      <c r="A1" s="105" t="s">
        <v>203</v>
      </c>
      <c r="B1" s="105"/>
      <c r="C1" s="105"/>
      <c r="D1" s="105"/>
      <c r="E1" s="105"/>
      <c r="F1" s="105"/>
      <c r="G1" s="105"/>
    </row>
    <row r="2" spans="1:7" s="49" customFormat="1" ht="15" customHeight="1">
      <c r="A2" s="48" t="s">
        <v>2</v>
      </c>
      <c r="B2" s="48" t="s">
        <v>4</v>
      </c>
      <c r="C2" s="48" t="s">
        <v>9</v>
      </c>
      <c r="D2" s="48" t="s">
        <v>10</v>
      </c>
      <c r="E2" s="48" t="s">
        <v>11</v>
      </c>
      <c r="F2" s="48" t="s">
        <v>12</v>
      </c>
      <c r="G2" s="48" t="s">
        <v>27</v>
      </c>
    </row>
    <row r="3" spans="1:9" s="49" customFormat="1" ht="15" customHeight="1">
      <c r="A3" s="50" t="s">
        <v>142</v>
      </c>
      <c r="B3" s="51">
        <v>500</v>
      </c>
      <c r="C3" s="55">
        <f>((-'Tran.'!$H$133)+(36.578*500)+(-'Tran.'!$H$156))/2500</f>
        <v>33.87231</v>
      </c>
      <c r="D3" s="52">
        <v>31</v>
      </c>
      <c r="E3" s="52">
        <f>$B3*$D3</f>
        <v>15500</v>
      </c>
      <c r="F3" s="53">
        <f>$E3/$E$19</f>
        <v>0.10524541155281501</v>
      </c>
      <c r="G3" s="52">
        <f>$E3-($B3*$C3)</f>
        <v>-1436.1549999999988</v>
      </c>
      <c r="I3" s="54"/>
    </row>
    <row r="4" spans="1:9" s="49" customFormat="1" ht="15" customHeight="1">
      <c r="A4" s="50" t="s">
        <v>195</v>
      </c>
      <c r="B4" s="51">
        <v>10000</v>
      </c>
      <c r="C4" s="55">
        <f>-'Tran.'!$H$154/10000</f>
        <v>3.9684744</v>
      </c>
      <c r="D4" s="52">
        <v>3.76</v>
      </c>
      <c r="E4" s="52">
        <f>$B4*$D4</f>
        <v>37600</v>
      </c>
      <c r="F4" s="53">
        <f>$E4/$E$19</f>
        <v>0.25530499834747383</v>
      </c>
      <c r="G4" s="52">
        <f>$E4-($B4*$C4)</f>
        <v>-2084.743999999999</v>
      </c>
      <c r="I4" s="54"/>
    </row>
    <row r="5" spans="1:9" s="49" customFormat="1" ht="15" customHeight="1">
      <c r="A5" s="50"/>
      <c r="B5" s="51"/>
      <c r="C5" s="55"/>
      <c r="D5" s="52"/>
      <c r="E5" s="52"/>
      <c r="F5" s="53"/>
      <c r="G5" s="52"/>
      <c r="I5" s="54"/>
    </row>
    <row r="6" spans="1:9" s="49" customFormat="1" ht="15" customHeight="1">
      <c r="A6" s="50"/>
      <c r="B6" s="51"/>
      <c r="C6" s="55"/>
      <c r="D6" s="52"/>
      <c r="E6" s="52"/>
      <c r="F6" s="53"/>
      <c r="G6" s="52"/>
      <c r="I6" s="54"/>
    </row>
    <row r="7" spans="1:9" s="49" customFormat="1" ht="15" customHeight="1">
      <c r="A7" s="50"/>
      <c r="B7" s="51"/>
      <c r="C7" s="55"/>
      <c r="D7" s="52"/>
      <c r="E7" s="52"/>
      <c r="F7" s="53"/>
      <c r="G7" s="52"/>
      <c r="I7" s="54"/>
    </row>
    <row r="8" spans="1:9" s="49" customFormat="1" ht="15" customHeight="1">
      <c r="A8" s="50"/>
      <c r="B8" s="51"/>
      <c r="C8" s="55"/>
      <c r="D8" s="52"/>
      <c r="E8" s="52"/>
      <c r="F8" s="53"/>
      <c r="G8" s="52"/>
      <c r="I8" s="54"/>
    </row>
    <row r="9" spans="1:7" s="49" customFormat="1" ht="15" customHeight="1">
      <c r="A9" s="50"/>
      <c r="B9" s="51"/>
      <c r="C9" s="52"/>
      <c r="D9" s="52"/>
      <c r="E9" s="56"/>
      <c r="F9" s="53"/>
      <c r="G9" s="56"/>
    </row>
    <row r="10" spans="1:7" s="49" customFormat="1" ht="15" customHeight="1">
      <c r="A10" s="104" t="s">
        <v>35</v>
      </c>
      <c r="B10" s="104"/>
      <c r="C10" s="57"/>
      <c r="D10" s="57"/>
      <c r="E10" s="58">
        <f>SUM($E3:$E9)</f>
        <v>53100</v>
      </c>
      <c r="F10" s="59">
        <f>SUM($F3:$F9)</f>
        <v>0.36055040990028886</v>
      </c>
      <c r="G10" s="56">
        <f>SUM($G3:$G9)</f>
        <v>-3520.8989999999976</v>
      </c>
    </row>
    <row r="11" spans="2:7" s="49" customFormat="1" ht="15" customHeight="1">
      <c r="B11" s="60"/>
      <c r="C11" s="61"/>
      <c r="D11" s="61"/>
      <c r="E11" s="61"/>
      <c r="F11" s="61"/>
      <c r="G11" s="61"/>
    </row>
    <row r="12" spans="1:7" s="49" customFormat="1" ht="15" customHeight="1">
      <c r="A12" s="100" t="s">
        <v>17</v>
      </c>
      <c r="B12" s="100"/>
      <c r="C12" s="52"/>
      <c r="D12" s="52"/>
      <c r="E12" s="52">
        <v>94174.82910000003</v>
      </c>
      <c r="F12" s="61"/>
      <c r="G12" s="61"/>
    </row>
    <row r="13" spans="1:7" s="49" customFormat="1" ht="15" customHeight="1">
      <c r="A13" s="62" t="s">
        <v>14</v>
      </c>
      <c r="B13" s="62"/>
      <c r="C13" s="52"/>
      <c r="D13" s="52"/>
      <c r="E13" s="52">
        <v>0</v>
      </c>
      <c r="F13" s="61"/>
      <c r="G13" s="61"/>
    </row>
    <row r="14" spans="1:7" s="49" customFormat="1" ht="15" customHeight="1">
      <c r="A14" s="100" t="s">
        <v>38</v>
      </c>
      <c r="B14" s="100"/>
      <c r="C14" s="52"/>
      <c r="D14" s="52"/>
      <c r="E14" s="52">
        <v>0</v>
      </c>
      <c r="F14" s="61"/>
      <c r="G14" s="61"/>
    </row>
    <row r="15" spans="1:7" s="49" customFormat="1" ht="15" customHeight="1">
      <c r="A15" s="62" t="s">
        <v>156</v>
      </c>
      <c r="B15" s="62"/>
      <c r="C15" s="52"/>
      <c r="D15" s="52"/>
      <c r="E15" s="52">
        <v>0</v>
      </c>
      <c r="F15" s="61"/>
      <c r="G15" s="61"/>
    </row>
    <row r="16" spans="1:7" s="49" customFormat="1" ht="15" customHeight="1">
      <c r="A16" s="100" t="s">
        <v>137</v>
      </c>
      <c r="B16" s="100"/>
      <c r="C16" s="52"/>
      <c r="D16" s="52"/>
      <c r="E16" s="52">
        <v>0</v>
      </c>
      <c r="F16" s="61"/>
      <c r="G16" s="61"/>
    </row>
    <row r="17" spans="1:7" s="49" customFormat="1" ht="15" customHeight="1">
      <c r="A17" s="101" t="s">
        <v>19</v>
      </c>
      <c r="B17" s="101"/>
      <c r="C17" s="63"/>
      <c r="D17" s="63"/>
      <c r="E17" s="58">
        <f>SUM($E12:$E16)</f>
        <v>94174.82910000003</v>
      </c>
      <c r="F17" s="59">
        <f>$E17/$E$19</f>
        <v>0.6394495900997111</v>
      </c>
      <c r="G17" s="83">
        <v>37693</v>
      </c>
    </row>
    <row r="18" spans="1:5" s="49" customFormat="1" ht="15" customHeight="1">
      <c r="A18" s="64"/>
      <c r="B18" s="64"/>
      <c r="E18" s="61"/>
    </row>
    <row r="19" spans="1:6" s="49" customFormat="1" ht="15" customHeight="1">
      <c r="A19" s="101" t="s">
        <v>20</v>
      </c>
      <c r="B19" s="101"/>
      <c r="C19" s="63"/>
      <c r="D19" s="63"/>
      <c r="E19" s="58">
        <f>SUM($E10,$E17)</f>
        <v>147274.82910000003</v>
      </c>
      <c r="F19" s="59">
        <f>SUM($F10,$F17)</f>
        <v>1</v>
      </c>
    </row>
    <row r="20" spans="1:7" s="49" customFormat="1" ht="15" customHeight="1">
      <c r="A20" s="102" t="s">
        <v>33</v>
      </c>
      <c r="B20" s="102"/>
      <c r="C20" s="50"/>
      <c r="D20" s="50"/>
      <c r="E20" s="51">
        <f>13963-261-3868+3114+1772+191-195-472</f>
        <v>14244</v>
      </c>
      <c r="G20" s="54"/>
    </row>
    <row r="21" spans="1:8" s="49" customFormat="1" ht="15" customHeight="1">
      <c r="A21" s="97" t="s">
        <v>34</v>
      </c>
      <c r="B21" s="97"/>
      <c r="C21" s="63"/>
      <c r="D21" s="63"/>
      <c r="E21" s="65">
        <f>E$19/E$20</f>
        <v>10.339429170176919</v>
      </c>
      <c r="F21" s="66"/>
      <c r="G21" s="78"/>
      <c r="H21" s="67"/>
    </row>
    <row r="22" ht="15" customHeight="1">
      <c r="G22" s="79"/>
    </row>
    <row r="23" spans="1:5" ht="15" customHeight="1">
      <c r="A23" s="98" t="s">
        <v>155</v>
      </c>
      <c r="B23" s="98"/>
      <c r="C23" s="68"/>
      <c r="D23" s="68"/>
      <c r="E23" s="69">
        <v>3323.5</v>
      </c>
    </row>
    <row r="24" spans="1:5" ht="15" customHeight="1">
      <c r="A24" s="106" t="s">
        <v>191</v>
      </c>
      <c r="B24" s="106"/>
      <c r="C24" s="90"/>
      <c r="D24" s="90"/>
      <c r="E24" s="84">
        <v>62822.94660000002</v>
      </c>
    </row>
    <row r="25" spans="1:5" ht="15" customHeight="1">
      <c r="A25" s="106" t="s">
        <v>190</v>
      </c>
      <c r="B25" s="106"/>
      <c r="C25" s="90"/>
      <c r="D25" s="90"/>
      <c r="E25" s="91">
        <f>SUM($E$23:$E$24)</f>
        <v>66146.44660000002</v>
      </c>
    </row>
    <row r="26" spans="1:5" ht="15" customHeight="1">
      <c r="A26" s="99" t="s">
        <v>189</v>
      </c>
      <c r="B26" s="99"/>
      <c r="C26" s="70"/>
      <c r="D26" s="70"/>
      <c r="E26" s="71">
        <f>$E$19+$E$23</f>
        <v>150598.32910000003</v>
      </c>
    </row>
  </sheetData>
  <mergeCells count="13">
    <mergeCell ref="A26:B26"/>
    <mergeCell ref="A21:B21"/>
    <mergeCell ref="A23:B23"/>
    <mergeCell ref="A24:B24"/>
    <mergeCell ref="A25:B25"/>
    <mergeCell ref="A16:B16"/>
    <mergeCell ref="A17:B17"/>
    <mergeCell ref="A19:B19"/>
    <mergeCell ref="A20:B20"/>
    <mergeCell ref="A1:G1"/>
    <mergeCell ref="A10:B10"/>
    <mergeCell ref="A12:B12"/>
    <mergeCell ref="A14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ray</cp:lastModifiedBy>
  <dcterms:created xsi:type="dcterms:W3CDTF">2002-10-20T17:23:22Z</dcterms:created>
  <dcterms:modified xsi:type="dcterms:W3CDTF">2003-04-02T16:34:28Z</dcterms:modified>
  <cp:category/>
  <cp:version/>
  <cp:contentType/>
  <cp:contentStatus/>
</cp:coreProperties>
</file>