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300" tabRatio="1000" firstSheet="6" activeTab="18"/>
  </bookViews>
  <sheets>
    <sheet name="TRANSACTION" sheetId="1" r:id="rId1"/>
    <sheet name="2DEC" sheetId="2" r:id="rId2"/>
    <sheet name="3DEC" sheetId="3" r:id="rId3"/>
    <sheet name="4DEC" sheetId="4" r:id="rId4"/>
    <sheet name="6DEC" sheetId="5" r:id="rId5"/>
    <sheet name="9DEC" sheetId="6" r:id="rId6"/>
    <sheet name="11DEC" sheetId="7" r:id="rId7"/>
    <sheet name="12DEC" sheetId="8" r:id="rId8"/>
    <sheet name="13DEC" sheetId="9" r:id="rId9"/>
    <sheet name="16DEC" sheetId="10" r:id="rId10"/>
    <sheet name="17DEC" sheetId="11" r:id="rId11"/>
    <sheet name="18DEC" sheetId="12" r:id="rId12"/>
    <sheet name="19DEC" sheetId="13" r:id="rId13"/>
    <sheet name="20DEC" sheetId="14" r:id="rId14"/>
    <sheet name="23DEC" sheetId="15" r:id="rId15"/>
    <sheet name="24DEC" sheetId="16" r:id="rId16"/>
    <sheet name="25DEC" sheetId="17" r:id="rId17"/>
    <sheet name="26DEC" sheetId="18" r:id="rId18"/>
    <sheet name="27DEC" sheetId="19" r:id="rId19"/>
    <sheet name="PERFORMANCE" sheetId="20" r:id="rId20"/>
    <sheet name="%CHANGE" sheetId="21" r:id="rId21"/>
    <sheet name="RETURN" sheetId="22" r:id="rId22"/>
  </sheets>
  <definedNames/>
  <calcPr fullCalcOnLoad="1"/>
</workbook>
</file>

<file path=xl/sharedStrings.xml><?xml version="1.0" encoding="utf-8"?>
<sst xmlns="http://schemas.openxmlformats.org/spreadsheetml/2006/main" count="552" uniqueCount="131">
  <si>
    <t>DATE</t>
  </si>
  <si>
    <t>TRANSACTION</t>
  </si>
  <si>
    <t>NAME</t>
  </si>
  <si>
    <t>B/S</t>
  </si>
  <si>
    <t>QUANTITY</t>
  </si>
  <si>
    <t>PRICE</t>
  </si>
  <si>
    <t>COM</t>
  </si>
  <si>
    <t>VAT</t>
  </si>
  <si>
    <t>AMOUNT</t>
  </si>
  <si>
    <t>COST PRICE</t>
  </si>
  <si>
    <t>MK PRICE</t>
  </si>
  <si>
    <t>MK VALUE</t>
  </si>
  <si>
    <t>% OF NAV</t>
  </si>
  <si>
    <t>RAM</t>
  </si>
  <si>
    <t>NET BUY</t>
  </si>
  <si>
    <t>NAV</t>
  </si>
  <si>
    <t>BUY</t>
  </si>
  <si>
    <t>BEG. CASH</t>
  </si>
  <si>
    <t>TUE 22/10/02</t>
  </si>
  <si>
    <t>ENDING CASH AVAILABLE</t>
  </si>
  <si>
    <t>TOTAL ASSET VALUE</t>
  </si>
  <si>
    <t>PERFORMANCE</t>
  </si>
  <si>
    <t>CHANGE</t>
  </si>
  <si>
    <t>PERCENT</t>
  </si>
  <si>
    <t>SET</t>
  </si>
  <si>
    <t>22/10</t>
  </si>
  <si>
    <t>RETURN SINCE INCEPTION</t>
  </si>
  <si>
    <t>UNREALIZED P/L</t>
  </si>
  <si>
    <t>21/10</t>
  </si>
  <si>
    <t>MON 21/10/02</t>
  </si>
  <si>
    <t>VARO</t>
  </si>
  <si>
    <t>ROJANA</t>
  </si>
  <si>
    <t>PATKOL</t>
  </si>
  <si>
    <t>ISSUED UNIT</t>
  </si>
  <si>
    <t>NAV / UNIT</t>
  </si>
  <si>
    <t>TOTAL MARKET VALUE</t>
  </si>
  <si>
    <t>THU 24/10/02</t>
  </si>
  <si>
    <t>SELL</t>
  </si>
  <si>
    <t>NET SELL</t>
  </si>
  <si>
    <t>24/10</t>
  </si>
  <si>
    <t>FRI 25/10/02</t>
  </si>
  <si>
    <t>25/10</t>
  </si>
  <si>
    <t>MON 28/10/02</t>
  </si>
  <si>
    <t>28/10</t>
  </si>
  <si>
    <t>TUE 29/10/02</t>
  </si>
  <si>
    <t>29/10</t>
  </si>
  <si>
    <t>30/10</t>
  </si>
  <si>
    <t>31/10</t>
  </si>
  <si>
    <t>1/11</t>
  </si>
  <si>
    <t>MON 04/11/02</t>
  </si>
  <si>
    <t>4/11</t>
  </si>
  <si>
    <t>5/11</t>
  </si>
  <si>
    <t>6/11</t>
  </si>
  <si>
    <t>7/11</t>
  </si>
  <si>
    <t>FRI 08/11/02</t>
  </si>
  <si>
    <t>8/11</t>
  </si>
  <si>
    <t>MON 11/11/02</t>
  </si>
  <si>
    <t>11/11</t>
  </si>
  <si>
    <t>TUE 12/11/02</t>
  </si>
  <si>
    <t>12/11</t>
  </si>
  <si>
    <t>13/11</t>
  </si>
  <si>
    <t>14/11</t>
  </si>
  <si>
    <t>FRI 15/11/02</t>
  </si>
  <si>
    <t>15/11</t>
  </si>
  <si>
    <t>MON 18/11/02</t>
  </si>
  <si>
    <t>18/11</t>
  </si>
  <si>
    <t>19/11</t>
  </si>
  <si>
    <t>TUE 19/11/02</t>
  </si>
  <si>
    <t>THU 21/11/02</t>
  </si>
  <si>
    <t>FRI 22/11/02</t>
  </si>
  <si>
    <t>20/11</t>
  </si>
  <si>
    <t>21/11</t>
  </si>
  <si>
    <t>22/11</t>
  </si>
  <si>
    <t>25/11</t>
  </si>
  <si>
    <t>TUE 26/11/02</t>
  </si>
  <si>
    <t>26/11</t>
  </si>
  <si>
    <t>27/11</t>
  </si>
  <si>
    <t>FRI 29/11/02</t>
  </si>
  <si>
    <t>REDEMPTION</t>
  </si>
  <si>
    <t>28/11</t>
  </si>
  <si>
    <t>29/11</t>
  </si>
  <si>
    <t>PORTFOLIO STATUS 2 DEC 2002</t>
  </si>
  <si>
    <t>2/12</t>
  </si>
  <si>
    <t>PORTFOLIO STATUS 3 DEC 2002</t>
  </si>
  <si>
    <t>3/12</t>
  </si>
  <si>
    <t>PORTFOLIO STATUS 4 DEC 2002</t>
  </si>
  <si>
    <t>4/12</t>
  </si>
  <si>
    <t>PORTFOLIO STATUS 6 DEC 2002</t>
  </si>
  <si>
    <t>6/12</t>
  </si>
  <si>
    <t>PORTFOLIO STATUS 9 DEC 2002</t>
  </si>
  <si>
    <t>9/12</t>
  </si>
  <si>
    <t>WED 11/12/02</t>
  </si>
  <si>
    <t>PORTFOLIO STATUS 11 DEC 2002</t>
  </si>
  <si>
    <t>11/12</t>
  </si>
  <si>
    <t>PORTFOLIO STATUS 12 DEC 2002</t>
  </si>
  <si>
    <t>12/12</t>
  </si>
  <si>
    <t>PORTFOLIO STATUS 13 DEC 2002</t>
  </si>
  <si>
    <t>13/12</t>
  </si>
  <si>
    <t>PORTFOLIO STATUS 16 DEC 2002</t>
  </si>
  <si>
    <t>16/12</t>
  </si>
  <si>
    <t>17/12</t>
  </si>
  <si>
    <t>PORTFOLIO STATUS 17 DEC 2002</t>
  </si>
  <si>
    <t>TUE 17/12/02</t>
  </si>
  <si>
    <t>CEI</t>
  </si>
  <si>
    <t>WED 18/12/02</t>
  </si>
  <si>
    <t>SITHAI</t>
  </si>
  <si>
    <t>18/12</t>
  </si>
  <si>
    <t>PORTFOLIO STATUS 18 DEC 2002</t>
  </si>
  <si>
    <t>THU 19/12/02</t>
  </si>
  <si>
    <t>PORTFOLIO STATUS 19 DEC 2002</t>
  </si>
  <si>
    <t>19/12</t>
  </si>
  <si>
    <t>FRI 20/12/02</t>
  </si>
  <si>
    <t>PORTFOLIO STATUS 20 DEC 2002</t>
  </si>
  <si>
    <t>20/12</t>
  </si>
  <si>
    <t>PORTFOLIO STATUS 23 DEC 2002</t>
  </si>
  <si>
    <t>MON 23/12/02</t>
  </si>
  <si>
    <t>23/12</t>
  </si>
  <si>
    <t>TUE 24/12/02</t>
  </si>
  <si>
    <t>TRAF-W1</t>
  </si>
  <si>
    <t>AEONTS</t>
  </si>
  <si>
    <t>PORTFOLIO STATUS 24 DEC 2002</t>
  </si>
  <si>
    <t>24/12</t>
  </si>
  <si>
    <t>WED 25/12/02</t>
  </si>
  <si>
    <t>PORTFOLIO STATUS 25 DEC 2002</t>
  </si>
  <si>
    <t>25/12</t>
  </si>
  <si>
    <t>THU 26/12/02</t>
  </si>
  <si>
    <t>PORTFOLIO STATUS 26 DEC 2002</t>
  </si>
  <si>
    <t>26/12</t>
  </si>
  <si>
    <t>FRI 27/12/02</t>
  </si>
  <si>
    <t>PORTFOLIO STATUS 27 DEC 2002</t>
  </si>
  <si>
    <t>27/12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</si>
</sst>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_-* #,##0.0_-;\-* #,##0.0_-;_-* &quot;-&quot;??_-;_-@_-"/>
    <numFmt numFmtId="198" formatCode="_-* #,##0_-;\-* #,##0_-;_-* &quot;-&quot;??_-;_-@_-"/>
    <numFmt numFmtId="199" formatCode="0.0%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m/d"/>
    <numFmt numFmtId="204" formatCode="00000"/>
    <numFmt numFmtId="205" formatCode="_-* #,##0.000_-;\-* #,##0.000_-;_-* &quot;-&quot;???_-;_-@_-"/>
    <numFmt numFmtId="206" formatCode="_-* #,##0.0000_-;\-* #,##0.0000_-;_-* &quot;-&quot;????_-;_-@_-"/>
  </numFmts>
  <fonts count="26">
    <font>
      <sz val="14"/>
      <name val="Cordia New"/>
      <family val="0"/>
    </font>
    <font>
      <sz val="12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sz val="12"/>
      <color indexed="9"/>
      <name val="Cordia New"/>
      <family val="2"/>
    </font>
    <font>
      <b/>
      <sz val="10.5"/>
      <name val="Cordia New"/>
      <family val="2"/>
    </font>
    <font>
      <b/>
      <sz val="10"/>
      <name val="Cordia New"/>
      <family val="2"/>
    </font>
    <font>
      <sz val="29"/>
      <name val="Cordia New"/>
      <family val="0"/>
    </font>
    <font>
      <sz val="20.25"/>
      <name val="Cordia New"/>
      <family val="0"/>
    </font>
    <font>
      <sz val="15.25"/>
      <name val="Cordia New"/>
      <family val="2"/>
    </font>
    <font>
      <b/>
      <sz val="25"/>
      <name val="Cordia New"/>
      <family val="0"/>
    </font>
    <font>
      <b/>
      <sz val="11.75"/>
      <name val="Cordia New"/>
      <family val="2"/>
    </font>
    <font>
      <sz val="23.5"/>
      <name val="Cordia New"/>
      <family val="0"/>
    </font>
    <font>
      <sz val="24"/>
      <name val="Cordia New"/>
      <family val="0"/>
    </font>
    <font>
      <sz val="15"/>
      <name val="Cordia New"/>
      <family val="2"/>
    </font>
    <font>
      <b/>
      <sz val="24"/>
      <name val="Cordia New"/>
      <family val="0"/>
    </font>
    <font>
      <b/>
      <sz val="14"/>
      <color indexed="9"/>
      <name val="BrowalliaUPC"/>
      <family val="2"/>
    </font>
    <font>
      <u val="singleAccounting"/>
      <sz val="12"/>
      <color indexed="9"/>
      <name val="Cordia New"/>
      <family val="2"/>
    </font>
    <font>
      <b/>
      <sz val="12"/>
      <color indexed="9"/>
      <name val="Cordia New"/>
      <family val="2"/>
    </font>
    <font>
      <b/>
      <u val="singleAccounting"/>
      <sz val="12"/>
      <color indexed="9"/>
      <name val="Cordia New"/>
      <family val="2"/>
    </font>
    <font>
      <b/>
      <sz val="14"/>
      <color indexed="9"/>
      <name val="Cordia New"/>
      <family val="2"/>
    </font>
    <font>
      <sz val="11"/>
      <color indexed="9"/>
      <name val="Cordia New"/>
      <family val="2"/>
    </font>
    <font>
      <sz val="11"/>
      <name val="Cordia New"/>
      <family val="2"/>
    </font>
    <font>
      <sz val="12"/>
      <color indexed="12"/>
      <name val="Cordia New"/>
      <family val="2"/>
    </font>
    <font>
      <sz val="12"/>
      <color indexed="8"/>
      <name val="Cordia New"/>
      <family val="2"/>
    </font>
  </fonts>
  <fills count="11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1" fillId="0" borderId="0" xfId="15" applyFont="1" applyAlignment="1">
      <alignment horizontal="center"/>
    </xf>
    <xf numFmtId="198" fontId="1" fillId="0" borderId="0" xfId="15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43" fontId="1" fillId="0" borderId="0" xfId="15" applyFont="1" applyBorder="1" applyAlignment="1">
      <alignment horizontal="center"/>
    </xf>
    <xf numFmtId="0" fontId="2" fillId="0" borderId="0" xfId="19" applyAlignment="1">
      <alignment horizontal="center"/>
    </xf>
    <xf numFmtId="4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98" fontId="1" fillId="0" borderId="0" xfId="15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98" fontId="1" fillId="0" borderId="1" xfId="15" applyNumberFormat="1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201" fontId="1" fillId="0" borderId="0" xfId="15" applyNumberFormat="1" applyFont="1" applyBorder="1" applyAlignment="1">
      <alignment horizontal="center"/>
    </xf>
    <xf numFmtId="0" fontId="1" fillId="0" borderId="0" xfId="0" applyFont="1" applyAlignment="1">
      <alignment/>
    </xf>
    <xf numFmtId="43" fontId="5" fillId="2" borderId="0" xfId="15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98" fontId="5" fillId="2" borderId="0" xfId="15" applyNumberFormat="1" applyFont="1" applyFill="1" applyAlignment="1">
      <alignment horizontal="center"/>
    </xf>
    <xf numFmtId="10" fontId="1" fillId="0" borderId="2" xfId="15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0" fontId="5" fillId="2" borderId="0" xfId="0" applyNumberFormat="1" applyFont="1" applyFill="1" applyAlignment="1">
      <alignment horizontal="center"/>
    </xf>
    <xf numFmtId="43" fontId="18" fillId="2" borderId="0" xfId="15" applyFont="1" applyFill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98" fontId="5" fillId="3" borderId="1" xfId="15" applyNumberFormat="1" applyFont="1" applyFill="1" applyBorder="1" applyAlignment="1">
      <alignment horizontal="center"/>
    </xf>
    <xf numFmtId="43" fontId="5" fillId="3" borderId="1" xfId="15" applyFont="1" applyFill="1" applyBorder="1" applyAlignment="1">
      <alignment horizontal="center"/>
    </xf>
    <xf numFmtId="43" fontId="5" fillId="3" borderId="4" xfId="15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4" borderId="0" xfId="0" applyFont="1" applyFill="1" applyBorder="1" applyAlignment="1">
      <alignment horizontal="center"/>
    </xf>
    <xf numFmtId="43" fontId="5" fillId="4" borderId="0" xfId="15" applyFont="1" applyFill="1" applyAlignment="1">
      <alignment horizontal="center"/>
    </xf>
    <xf numFmtId="43" fontId="18" fillId="4" borderId="0" xfId="15" applyFont="1" applyFill="1" applyAlignment="1">
      <alignment horizontal="center"/>
    </xf>
    <xf numFmtId="10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201" fontId="20" fillId="4" borderId="0" xfId="0" applyNumberFormat="1" applyFont="1" applyFill="1" applyAlignment="1">
      <alignment horizontal="center"/>
    </xf>
    <xf numFmtId="49" fontId="22" fillId="5" borderId="5" xfId="0" applyNumberFormat="1" applyFont="1" applyFill="1" applyBorder="1" applyAlignment="1">
      <alignment horizontal="center"/>
    </xf>
    <xf numFmtId="201" fontId="22" fillId="6" borderId="6" xfId="15" applyNumberFormat="1" applyFont="1" applyFill="1" applyBorder="1" applyAlignment="1">
      <alignment horizontal="center"/>
    </xf>
    <xf numFmtId="0" fontId="22" fillId="6" borderId="6" xfId="0" applyFont="1" applyFill="1" applyBorder="1" applyAlignment="1">
      <alignment horizontal="center"/>
    </xf>
    <xf numFmtId="10" fontId="22" fillId="6" borderId="6" xfId="0" applyNumberFormat="1" applyFont="1" applyFill="1" applyBorder="1" applyAlignment="1">
      <alignment horizontal="center"/>
    </xf>
    <xf numFmtId="43" fontId="22" fillId="7" borderId="6" xfId="15" applyFont="1" applyFill="1" applyBorder="1" applyAlignment="1">
      <alignment horizontal="center"/>
    </xf>
    <xf numFmtId="10" fontId="22" fillId="7" borderId="6" xfId="0" applyNumberFormat="1" applyFont="1" applyFill="1" applyBorder="1" applyAlignment="1">
      <alignment horizontal="center"/>
    </xf>
    <xf numFmtId="43" fontId="24" fillId="0" borderId="0" xfId="0" applyNumberFormat="1" applyFont="1" applyAlignment="1">
      <alignment horizontal="center"/>
    </xf>
    <xf numFmtId="43" fontId="25" fillId="8" borderId="1" xfId="15" applyFont="1" applyFill="1" applyBorder="1" applyAlignment="1">
      <alignment horizontal="center"/>
    </xf>
    <xf numFmtId="43" fontId="25" fillId="9" borderId="1" xfId="15" applyFont="1" applyFill="1" applyBorder="1" applyAlignment="1">
      <alignment horizontal="center"/>
    </xf>
    <xf numFmtId="43" fontId="1" fillId="0" borderId="0" xfId="15" applyNumberFormat="1" applyFont="1" applyAlignment="1">
      <alignment horizontal="center"/>
    </xf>
    <xf numFmtId="43" fontId="1" fillId="8" borderId="1" xfId="15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201" fontId="1" fillId="0" borderId="0" xfId="15" applyNumberFormat="1" applyFont="1" applyFill="1" applyBorder="1" applyAlignment="1">
      <alignment horizontal="center"/>
    </xf>
    <xf numFmtId="43" fontId="1" fillId="0" borderId="0" xfId="15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3" fontId="1" fillId="9" borderId="1" xfId="15" applyFont="1" applyFill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0" fontId="1" fillId="0" borderId="2" xfId="0" applyNumberFormat="1" applyFont="1" applyFill="1" applyBorder="1" applyAlignment="1">
      <alignment horizontal="center"/>
    </xf>
    <xf numFmtId="43" fontId="1" fillId="0" borderId="0" xfId="15" applyFont="1" applyFill="1" applyAlignment="1">
      <alignment horizontal="center"/>
    </xf>
    <xf numFmtId="43" fontId="1" fillId="2" borderId="0" xfId="0" applyNumberFormat="1" applyFont="1" applyFill="1" applyAlignment="1">
      <alignment horizontal="center"/>
    </xf>
    <xf numFmtId="198" fontId="1" fillId="0" borderId="0" xfId="0" applyNumberFormat="1" applyFont="1" applyAlignment="1">
      <alignment horizontal="center"/>
    </xf>
    <xf numFmtId="43" fontId="1" fillId="10" borderId="1" xfId="15" applyFont="1" applyFill="1" applyBorder="1" applyAlignment="1">
      <alignment horizontal="center"/>
    </xf>
    <xf numFmtId="43" fontId="5" fillId="2" borderId="0" xfId="15" applyNumberFormat="1" applyFont="1" applyFill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center"/>
    </xf>
    <xf numFmtId="0" fontId="19" fillId="4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4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7" fillId="4" borderId="10" xfId="0" applyFont="1" applyFill="1" applyBorder="1" applyAlignment="1">
      <alignment horizontal="center"/>
    </xf>
    <xf numFmtId="0" fontId="5" fillId="4" borderId="0" xfId="0" applyFont="1" applyFill="1" applyAlignment="1">
      <alignment/>
    </xf>
    <xf numFmtId="0" fontId="21" fillId="5" borderId="11" xfId="0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/>
    </xf>
    <xf numFmtId="0" fontId="21" fillId="5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chartsheet" Target="chartsheets/sheet1.xml" /><Relationship Id="rId22" Type="http://schemas.openxmlformats.org/officeDocument/2006/relationships/chartsheet" Target="chartsheets/sheet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latin typeface="Cordia New"/>
                <a:ea typeface="Cordia New"/>
                <a:cs typeface="Cordia New"/>
              </a:rPr>
              <a:t>PERCENTAGE CHANGE : NAV vs SET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8625"/>
          <c:w val="0.69675"/>
          <c:h val="0.731"/>
        </c:manualLayout>
      </c:layout>
      <c:lineChart>
        <c:grouping val="standard"/>
        <c:varyColors val="0"/>
        <c:ser>
          <c:idx val="0"/>
          <c:order val="0"/>
          <c:tx>
            <c:v>% CHANGE OF NAV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PERFORMANCE!$A$4:$A$100</c:f>
              <c:strCache>
                <c:ptCount val="97"/>
                <c:pt idx="0">
                  <c:v>22/10</c:v>
                </c:pt>
                <c:pt idx="1">
                  <c:v>24/10</c:v>
                </c:pt>
                <c:pt idx="2">
                  <c:v>25/10</c:v>
                </c:pt>
                <c:pt idx="3">
                  <c:v>28/10</c:v>
                </c:pt>
                <c:pt idx="4">
                  <c:v>29/10</c:v>
                </c:pt>
                <c:pt idx="5">
                  <c:v>30/10</c:v>
                </c:pt>
                <c:pt idx="6">
                  <c:v>31/10</c:v>
                </c:pt>
                <c:pt idx="7">
                  <c:v>1/11</c:v>
                </c:pt>
                <c:pt idx="8">
                  <c:v>4/11</c:v>
                </c:pt>
                <c:pt idx="9">
                  <c:v>5/11</c:v>
                </c:pt>
                <c:pt idx="10">
                  <c:v>6/11</c:v>
                </c:pt>
                <c:pt idx="11">
                  <c:v>7/11</c:v>
                </c:pt>
                <c:pt idx="12">
                  <c:v>8/11</c:v>
                </c:pt>
                <c:pt idx="13">
                  <c:v>11/11</c:v>
                </c:pt>
                <c:pt idx="14">
                  <c:v>12/11</c:v>
                </c:pt>
                <c:pt idx="15">
                  <c:v>13/11</c:v>
                </c:pt>
                <c:pt idx="16">
                  <c:v>14/11</c:v>
                </c:pt>
                <c:pt idx="17">
                  <c:v>15/11</c:v>
                </c:pt>
                <c:pt idx="18">
                  <c:v>18/11</c:v>
                </c:pt>
                <c:pt idx="19">
                  <c:v>19/11</c:v>
                </c:pt>
                <c:pt idx="20">
                  <c:v>20/11</c:v>
                </c:pt>
                <c:pt idx="21">
                  <c:v>21/11</c:v>
                </c:pt>
                <c:pt idx="22">
                  <c:v>22/11</c:v>
                </c:pt>
                <c:pt idx="23">
                  <c:v>25/11</c:v>
                </c:pt>
                <c:pt idx="24">
                  <c:v>26/11</c:v>
                </c:pt>
                <c:pt idx="25">
                  <c:v>27/11</c:v>
                </c:pt>
                <c:pt idx="26">
                  <c:v>28/11</c:v>
                </c:pt>
                <c:pt idx="27">
                  <c:v>29/11</c:v>
                </c:pt>
                <c:pt idx="28">
                  <c:v>2/12</c:v>
                </c:pt>
                <c:pt idx="29">
                  <c:v>3/12</c:v>
                </c:pt>
                <c:pt idx="30">
                  <c:v>4/12</c:v>
                </c:pt>
                <c:pt idx="31">
                  <c:v>6/12</c:v>
                </c:pt>
                <c:pt idx="32">
                  <c:v>9/12</c:v>
                </c:pt>
                <c:pt idx="33">
                  <c:v>11/12</c:v>
                </c:pt>
                <c:pt idx="34">
                  <c:v>12/12</c:v>
                </c:pt>
                <c:pt idx="35">
                  <c:v>13/12</c:v>
                </c:pt>
                <c:pt idx="36">
                  <c:v>16/12</c:v>
                </c:pt>
                <c:pt idx="37">
                  <c:v>17/12</c:v>
                </c:pt>
                <c:pt idx="38">
                  <c:v>18/12</c:v>
                </c:pt>
                <c:pt idx="39">
                  <c:v>19/12</c:v>
                </c:pt>
                <c:pt idx="40">
                  <c:v>20/12</c:v>
                </c:pt>
                <c:pt idx="41">
                  <c:v>23/12</c:v>
                </c:pt>
                <c:pt idx="42">
                  <c:v>24/12</c:v>
                </c:pt>
                <c:pt idx="43">
                  <c:v>25/12</c:v>
                </c:pt>
                <c:pt idx="44">
                  <c:v>26/12</c:v>
                </c:pt>
                <c:pt idx="45">
                  <c:v>27/12</c:v>
                </c:pt>
              </c:strCache>
            </c:strRef>
          </c:cat>
          <c:val>
            <c:numRef>
              <c:f>PERFORMANCE!$D$3:$D$100</c:f>
              <c:numCache>
                <c:ptCount val="98"/>
                <c:pt idx="0">
                  <c:v>0</c:v>
                </c:pt>
                <c:pt idx="1">
                  <c:v>0.0165297424820363</c:v>
                </c:pt>
                <c:pt idx="2">
                  <c:v>0.022780721533901635</c:v>
                </c:pt>
                <c:pt idx="3">
                  <c:v>0.010470877585958983</c:v>
                </c:pt>
                <c:pt idx="4">
                  <c:v>0.011242932569015656</c:v>
                </c:pt>
                <c:pt idx="5">
                  <c:v>-0.0036930207422962206</c:v>
                </c:pt>
                <c:pt idx="6">
                  <c:v>0.002665271512524949</c:v>
                </c:pt>
                <c:pt idx="7">
                  <c:v>0.0029904600635737395</c:v>
                </c:pt>
                <c:pt idx="8">
                  <c:v>0.01921439386553047</c:v>
                </c:pt>
                <c:pt idx="9">
                  <c:v>-0.008735360082142393</c:v>
                </c:pt>
                <c:pt idx="10">
                  <c:v>-0.030822750161719398</c:v>
                </c:pt>
                <c:pt idx="11">
                  <c:v>-0.003017759688705034</c:v>
                </c:pt>
                <c:pt idx="12">
                  <c:v>0.011653286333418337</c:v>
                </c:pt>
                <c:pt idx="13">
                  <c:v>-0.0028462837924150487</c:v>
                </c:pt>
                <c:pt idx="14">
                  <c:v>0.004054393282969924</c:v>
                </c:pt>
                <c:pt idx="15">
                  <c:v>-0.017984529958852576</c:v>
                </c:pt>
                <c:pt idx="16">
                  <c:v>-0.0012016401282240914</c:v>
                </c:pt>
                <c:pt idx="17">
                  <c:v>-0.0036092574132132516</c:v>
                </c:pt>
                <c:pt idx="18">
                  <c:v>-0.02906114931188196</c:v>
                </c:pt>
                <c:pt idx="19">
                  <c:v>0.004074633256114305</c:v>
                </c:pt>
                <c:pt idx="20">
                  <c:v>-0.01605497462726543</c:v>
                </c:pt>
                <c:pt idx="21">
                  <c:v>0.00896856744628476</c:v>
                </c:pt>
                <c:pt idx="22">
                  <c:v>0.004710498109871698</c:v>
                </c:pt>
                <c:pt idx="23">
                  <c:v>0.008820425466115226</c:v>
                </c:pt>
                <c:pt idx="24">
                  <c:v>0</c:v>
                </c:pt>
                <c:pt idx="25">
                  <c:v>-0.002622597910381108</c:v>
                </c:pt>
                <c:pt idx="26">
                  <c:v>-0.0029614642914121496</c:v>
                </c:pt>
                <c:pt idx="27">
                  <c:v>-0.0029702606121512235</c:v>
                </c:pt>
                <c:pt idx="28">
                  <c:v>0.013661058053092945</c:v>
                </c:pt>
                <c:pt idx="29">
                  <c:v>0</c:v>
                </c:pt>
                <c:pt idx="30">
                  <c:v>-0.012551462084081354</c:v>
                </c:pt>
                <c:pt idx="31">
                  <c:v>-0.003177750941474915</c:v>
                </c:pt>
                <c:pt idx="32">
                  <c:v>-0.0021252541560451894</c:v>
                </c:pt>
                <c:pt idx="33">
                  <c:v>-0.003194670721295413</c:v>
                </c:pt>
                <c:pt idx="34">
                  <c:v>0.008965235368987818</c:v>
                </c:pt>
                <c:pt idx="35">
                  <c:v>0.007411674414248743</c:v>
                </c:pt>
                <c:pt idx="36">
                  <c:v>-0.00560544430179166</c:v>
                </c:pt>
                <c:pt idx="37">
                  <c:v>-0.00581320000506637</c:v>
                </c:pt>
                <c:pt idx="38">
                  <c:v>0.0032575161164972266</c:v>
                </c:pt>
                <c:pt idx="39">
                  <c:v>0.00160600757003349</c:v>
                </c:pt>
                <c:pt idx="40">
                  <c:v>0.0004957316307553574</c:v>
                </c:pt>
                <c:pt idx="41">
                  <c:v>-0.0023562814474334163</c:v>
                </c:pt>
                <c:pt idx="42">
                  <c:v>-5.171506333303722E-06</c:v>
                </c:pt>
                <c:pt idx="43">
                  <c:v>0.001397190396525351</c:v>
                </c:pt>
                <c:pt idx="44">
                  <c:v>0.02708696849920195</c:v>
                </c:pt>
                <c:pt idx="45">
                  <c:v>0.026754228239548625</c:v>
                </c:pt>
                <c:pt idx="46">
                  <c:v>0.00035292109580283644</c:v>
                </c:pt>
              </c:numCache>
            </c:numRef>
          </c:val>
          <c:smooth val="0"/>
        </c:ser>
        <c:ser>
          <c:idx val="1"/>
          <c:order val="1"/>
          <c:tx>
            <c:v>% CHANGE OF SET INDEX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PERFORMANCE!$A$4:$A$100</c:f>
              <c:strCache>
                <c:ptCount val="97"/>
                <c:pt idx="0">
                  <c:v>22/10</c:v>
                </c:pt>
                <c:pt idx="1">
                  <c:v>24/10</c:v>
                </c:pt>
                <c:pt idx="2">
                  <c:v>25/10</c:v>
                </c:pt>
                <c:pt idx="3">
                  <c:v>28/10</c:v>
                </c:pt>
                <c:pt idx="4">
                  <c:v>29/10</c:v>
                </c:pt>
                <c:pt idx="5">
                  <c:v>30/10</c:v>
                </c:pt>
                <c:pt idx="6">
                  <c:v>31/10</c:v>
                </c:pt>
                <c:pt idx="7">
                  <c:v>1/11</c:v>
                </c:pt>
                <c:pt idx="8">
                  <c:v>4/11</c:v>
                </c:pt>
                <c:pt idx="9">
                  <c:v>5/11</c:v>
                </c:pt>
                <c:pt idx="10">
                  <c:v>6/11</c:v>
                </c:pt>
                <c:pt idx="11">
                  <c:v>7/11</c:v>
                </c:pt>
                <c:pt idx="12">
                  <c:v>8/11</c:v>
                </c:pt>
                <c:pt idx="13">
                  <c:v>11/11</c:v>
                </c:pt>
                <c:pt idx="14">
                  <c:v>12/11</c:v>
                </c:pt>
                <c:pt idx="15">
                  <c:v>13/11</c:v>
                </c:pt>
                <c:pt idx="16">
                  <c:v>14/11</c:v>
                </c:pt>
                <c:pt idx="17">
                  <c:v>15/11</c:v>
                </c:pt>
                <c:pt idx="18">
                  <c:v>18/11</c:v>
                </c:pt>
                <c:pt idx="19">
                  <c:v>19/11</c:v>
                </c:pt>
                <c:pt idx="20">
                  <c:v>20/11</c:v>
                </c:pt>
                <c:pt idx="21">
                  <c:v>21/11</c:v>
                </c:pt>
                <c:pt idx="22">
                  <c:v>22/11</c:v>
                </c:pt>
                <c:pt idx="23">
                  <c:v>25/11</c:v>
                </c:pt>
                <c:pt idx="24">
                  <c:v>26/11</c:v>
                </c:pt>
                <c:pt idx="25">
                  <c:v>27/11</c:v>
                </c:pt>
                <c:pt idx="26">
                  <c:v>28/11</c:v>
                </c:pt>
                <c:pt idx="27">
                  <c:v>29/11</c:v>
                </c:pt>
                <c:pt idx="28">
                  <c:v>2/12</c:v>
                </c:pt>
                <c:pt idx="29">
                  <c:v>3/12</c:v>
                </c:pt>
                <c:pt idx="30">
                  <c:v>4/12</c:v>
                </c:pt>
                <c:pt idx="31">
                  <c:v>6/12</c:v>
                </c:pt>
                <c:pt idx="32">
                  <c:v>9/12</c:v>
                </c:pt>
                <c:pt idx="33">
                  <c:v>11/12</c:v>
                </c:pt>
                <c:pt idx="34">
                  <c:v>12/12</c:v>
                </c:pt>
                <c:pt idx="35">
                  <c:v>13/12</c:v>
                </c:pt>
                <c:pt idx="36">
                  <c:v>16/12</c:v>
                </c:pt>
                <c:pt idx="37">
                  <c:v>17/12</c:v>
                </c:pt>
                <c:pt idx="38">
                  <c:v>18/12</c:v>
                </c:pt>
                <c:pt idx="39">
                  <c:v>19/12</c:v>
                </c:pt>
                <c:pt idx="40">
                  <c:v>20/12</c:v>
                </c:pt>
                <c:pt idx="41">
                  <c:v>23/12</c:v>
                </c:pt>
                <c:pt idx="42">
                  <c:v>24/12</c:v>
                </c:pt>
                <c:pt idx="43">
                  <c:v>25/12</c:v>
                </c:pt>
                <c:pt idx="44">
                  <c:v>26/12</c:v>
                </c:pt>
                <c:pt idx="45">
                  <c:v>27/12</c:v>
                </c:pt>
              </c:strCache>
            </c:strRef>
          </c:cat>
          <c:val>
            <c:numRef>
              <c:f>PERFORMANCE!$H$3:$H$100</c:f>
              <c:numCache>
                <c:ptCount val="98"/>
                <c:pt idx="0">
                  <c:v>0</c:v>
                </c:pt>
                <c:pt idx="1">
                  <c:v>0.005605902172650189</c:v>
                </c:pt>
                <c:pt idx="2">
                  <c:v>0.0010975997227116359</c:v>
                </c:pt>
                <c:pt idx="3">
                  <c:v>0.005395423987997359</c:v>
                </c:pt>
                <c:pt idx="4">
                  <c:v>0.025713137806348037</c:v>
                </c:pt>
                <c:pt idx="5">
                  <c:v>-0.009708466230205437</c:v>
                </c:pt>
                <c:pt idx="6">
                  <c:v>0.002966520695013452</c:v>
                </c:pt>
                <c:pt idx="7">
                  <c:v>0.00625352112676064</c:v>
                </c:pt>
                <c:pt idx="8">
                  <c:v>0.0012877218520798933</c:v>
                </c:pt>
                <c:pt idx="9">
                  <c:v>0.0031312905390293126</c:v>
                </c:pt>
                <c:pt idx="10">
                  <c:v>-0.008444816053511788</c:v>
                </c:pt>
                <c:pt idx="11">
                  <c:v>-0.005537285324788404</c:v>
                </c:pt>
                <c:pt idx="12">
                  <c:v>0.010344827586206806</c:v>
                </c:pt>
                <c:pt idx="13">
                  <c:v>-0.00688188888267213</c:v>
                </c:pt>
                <c:pt idx="14">
                  <c:v>-0.01307042253521123</c:v>
                </c:pt>
                <c:pt idx="15">
                  <c:v>-0.015098755565703906</c:v>
                </c:pt>
                <c:pt idx="16">
                  <c:v>-0.004057147825078903</c:v>
                </c:pt>
                <c:pt idx="17">
                  <c:v>0.015363575523030734</c:v>
                </c:pt>
                <c:pt idx="18">
                  <c:v>0.02089124516406368</c:v>
                </c:pt>
                <c:pt idx="19">
                  <c:v>0.002414102852009919</c:v>
                </c:pt>
                <c:pt idx="20">
                  <c:v>-0.00974516942033049</c:v>
                </c:pt>
                <c:pt idx="21">
                  <c:v>-0.004072167863808602</c:v>
                </c:pt>
                <c:pt idx="22">
                  <c:v>0.01777500141972852</c:v>
                </c:pt>
                <c:pt idx="23">
                  <c:v>0.01157794888963279</c:v>
                </c:pt>
                <c:pt idx="24">
                  <c:v>0.005350395763810359</c:v>
                </c:pt>
                <c:pt idx="25">
                  <c:v>-0.009107618028694465</c:v>
                </c:pt>
                <c:pt idx="26">
                  <c:v>0.00038758616871084194</c:v>
                </c:pt>
                <c:pt idx="27">
                  <c:v>0.008136156081361553</c:v>
                </c:pt>
                <c:pt idx="28">
                  <c:v>0.001674490104037873</c:v>
                </c:pt>
                <c:pt idx="29">
                  <c:v>0.004850644012058205</c:v>
                </c:pt>
                <c:pt idx="30">
                  <c:v>-0.006763574876592081</c:v>
                </c:pt>
                <c:pt idx="31">
                  <c:v>0.002059364617370054</c:v>
                </c:pt>
                <c:pt idx="32">
                  <c:v>0.00041102647010461246</c:v>
                </c:pt>
                <c:pt idx="33">
                  <c:v>0.0007121531677122019</c:v>
                </c:pt>
                <c:pt idx="34">
                  <c:v>0.00030108115505667656</c:v>
                </c:pt>
                <c:pt idx="35">
                  <c:v>-0.01094511027198599</c:v>
                </c:pt>
                <c:pt idx="36">
                  <c:v>-0.01455209428429146</c:v>
                </c:pt>
                <c:pt idx="37">
                  <c:v>-0.006372824256035884</c:v>
                </c:pt>
                <c:pt idx="38">
                  <c:v>-0.0031079592009720077</c:v>
                </c:pt>
                <c:pt idx="39">
                  <c:v>-0.00626363971317626</c:v>
                </c:pt>
                <c:pt idx="40">
                  <c:v>-0.0010552735154868648</c:v>
                </c:pt>
                <c:pt idx="41">
                  <c:v>-0.0006852248394004542</c:v>
                </c:pt>
                <c:pt idx="42">
                  <c:v>0.0015428130624839875</c:v>
                </c:pt>
                <c:pt idx="43">
                  <c:v>0.001084010840108388</c:v>
                </c:pt>
                <c:pt idx="44">
                  <c:v>0.0070669364260679286</c:v>
                </c:pt>
                <c:pt idx="45">
                  <c:v>0.005517670694094645</c:v>
                </c:pt>
                <c:pt idx="46">
                  <c:v>0.003151733453399382</c:v>
                </c:pt>
              </c:numCache>
            </c:numRef>
          </c:val>
          <c:smooth val="0"/>
        </c:ser>
        <c:marker val="1"/>
        <c:axId val="42439174"/>
        <c:axId val="46408247"/>
      </c:lineChart>
      <c:catAx>
        <c:axId val="42439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Cordia New"/>
                    <a:ea typeface="Cordia New"/>
                    <a:cs typeface="Cordia New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134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6408247"/>
        <c:crosses val="autoZero"/>
        <c:auto val="1"/>
        <c:lblOffset val="100"/>
        <c:noMultiLvlLbl val="0"/>
      </c:catAx>
      <c:valAx>
        <c:axId val="46408247"/>
        <c:scaling>
          <c:orientation val="minMax"/>
          <c:max val="0.04"/>
          <c:min val="-0.0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Cordia New"/>
                    <a:ea typeface="Cordia New"/>
                    <a:cs typeface="Cordia New"/>
                  </a:rPr>
                  <a:t>% CHANGE</a:t>
                </a:r>
              </a:p>
            </c:rich>
          </c:tx>
          <c:layout>
            <c:manualLayout>
              <c:xMode val="factor"/>
              <c:yMode val="factor"/>
              <c:x val="0.0292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243917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25"/>
          <c:y val="0"/>
        </c:manualLayout>
      </c:layout>
      <c:overlay val="0"/>
      <c:txPr>
        <a:bodyPr vert="horz" rot="0"/>
        <a:lstStyle/>
        <a:p>
          <a:pPr>
            <a:defRPr lang="en-US" cap="none" sz="15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Cordia New"/>
                <a:ea typeface="Cordia New"/>
                <a:cs typeface="Cordia New"/>
              </a:rPr>
              <a:t>RETURN SINCE 21/OCT/2002 : NAV vs SET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7975"/>
          <c:w val="0.748"/>
          <c:h val="0.745"/>
        </c:manualLayout>
      </c:layout>
      <c:lineChart>
        <c:grouping val="standard"/>
        <c:varyColors val="0"/>
        <c:ser>
          <c:idx val="0"/>
          <c:order val="0"/>
          <c:tx>
            <c:v>RETURN OF NAV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PERFORMANCE!$A$4:$A$100</c:f>
              <c:strCache>
                <c:ptCount val="97"/>
                <c:pt idx="0">
                  <c:v>22/10</c:v>
                </c:pt>
                <c:pt idx="1">
                  <c:v>24/10</c:v>
                </c:pt>
                <c:pt idx="2">
                  <c:v>25/10</c:v>
                </c:pt>
                <c:pt idx="3">
                  <c:v>28/10</c:v>
                </c:pt>
                <c:pt idx="4">
                  <c:v>29/10</c:v>
                </c:pt>
                <c:pt idx="5">
                  <c:v>30/10</c:v>
                </c:pt>
                <c:pt idx="6">
                  <c:v>31/10</c:v>
                </c:pt>
                <c:pt idx="7">
                  <c:v>1/11</c:v>
                </c:pt>
                <c:pt idx="8">
                  <c:v>4/11</c:v>
                </c:pt>
                <c:pt idx="9">
                  <c:v>5/11</c:v>
                </c:pt>
                <c:pt idx="10">
                  <c:v>6/11</c:v>
                </c:pt>
                <c:pt idx="11">
                  <c:v>7/11</c:v>
                </c:pt>
                <c:pt idx="12">
                  <c:v>8/11</c:v>
                </c:pt>
                <c:pt idx="13">
                  <c:v>11/11</c:v>
                </c:pt>
                <c:pt idx="14">
                  <c:v>12/11</c:v>
                </c:pt>
                <c:pt idx="15">
                  <c:v>13/11</c:v>
                </c:pt>
                <c:pt idx="16">
                  <c:v>14/11</c:v>
                </c:pt>
                <c:pt idx="17">
                  <c:v>15/11</c:v>
                </c:pt>
                <c:pt idx="18">
                  <c:v>18/11</c:v>
                </c:pt>
                <c:pt idx="19">
                  <c:v>19/11</c:v>
                </c:pt>
                <c:pt idx="20">
                  <c:v>20/11</c:v>
                </c:pt>
                <c:pt idx="21">
                  <c:v>21/11</c:v>
                </c:pt>
                <c:pt idx="22">
                  <c:v>22/11</c:v>
                </c:pt>
                <c:pt idx="23">
                  <c:v>25/11</c:v>
                </c:pt>
                <c:pt idx="24">
                  <c:v>26/11</c:v>
                </c:pt>
                <c:pt idx="25">
                  <c:v>27/11</c:v>
                </c:pt>
                <c:pt idx="26">
                  <c:v>28/11</c:v>
                </c:pt>
                <c:pt idx="27">
                  <c:v>29/11</c:v>
                </c:pt>
                <c:pt idx="28">
                  <c:v>2/12</c:v>
                </c:pt>
                <c:pt idx="29">
                  <c:v>3/12</c:v>
                </c:pt>
                <c:pt idx="30">
                  <c:v>4/12</c:v>
                </c:pt>
                <c:pt idx="31">
                  <c:v>6/12</c:v>
                </c:pt>
                <c:pt idx="32">
                  <c:v>9/12</c:v>
                </c:pt>
                <c:pt idx="33">
                  <c:v>11/12</c:v>
                </c:pt>
                <c:pt idx="34">
                  <c:v>12/12</c:v>
                </c:pt>
                <c:pt idx="35">
                  <c:v>13/12</c:v>
                </c:pt>
                <c:pt idx="36">
                  <c:v>16/12</c:v>
                </c:pt>
                <c:pt idx="37">
                  <c:v>17/12</c:v>
                </c:pt>
                <c:pt idx="38">
                  <c:v>18/12</c:v>
                </c:pt>
                <c:pt idx="39">
                  <c:v>19/12</c:v>
                </c:pt>
                <c:pt idx="40">
                  <c:v>20/12</c:v>
                </c:pt>
                <c:pt idx="41">
                  <c:v>23/12</c:v>
                </c:pt>
                <c:pt idx="42">
                  <c:v>24/12</c:v>
                </c:pt>
                <c:pt idx="43">
                  <c:v>25/12</c:v>
                </c:pt>
                <c:pt idx="44">
                  <c:v>26/12</c:v>
                </c:pt>
                <c:pt idx="45">
                  <c:v>27/12</c:v>
                </c:pt>
              </c:strCache>
            </c:strRef>
          </c:cat>
          <c:val>
            <c:numRef>
              <c:f>PERFORMANCE!$E$3:$E$100</c:f>
              <c:numCache>
                <c:ptCount val="98"/>
                <c:pt idx="0">
                  <c:v>0</c:v>
                </c:pt>
                <c:pt idx="1">
                  <c:v>0.0165297424820363</c:v>
                </c:pt>
                <c:pt idx="2">
                  <c:v>0.039310464015937935</c:v>
                </c:pt>
                <c:pt idx="3">
                  <c:v>0.049781341601896914</c:v>
                </c:pt>
                <c:pt idx="4">
                  <c:v>0.06102427417091257</c:v>
                </c:pt>
                <c:pt idx="5">
                  <c:v>0.05733125342861635</c:v>
                </c:pt>
                <c:pt idx="6">
                  <c:v>0.0599965249411413</c:v>
                </c:pt>
                <c:pt idx="7">
                  <c:v>0.06298698500471504</c:v>
                </c:pt>
                <c:pt idx="8">
                  <c:v>0.0822013788702455</c:v>
                </c:pt>
                <c:pt idx="9">
                  <c:v>0.07346601878810312</c:v>
                </c:pt>
                <c:pt idx="10">
                  <c:v>0.04264326862638372</c:v>
                </c:pt>
                <c:pt idx="11">
                  <c:v>0.03962550893767869</c:v>
                </c:pt>
                <c:pt idx="12">
                  <c:v>0.05127879527109702</c:v>
                </c:pt>
                <c:pt idx="13">
                  <c:v>0.048432511478681974</c:v>
                </c:pt>
                <c:pt idx="14">
                  <c:v>0.052486904761651895</c:v>
                </c:pt>
                <c:pt idx="15">
                  <c:v>0.034502374802799315</c:v>
                </c:pt>
                <c:pt idx="16">
                  <c:v>0.03330073467457523</c:v>
                </c:pt>
                <c:pt idx="17">
                  <c:v>0.029691477261361975</c:v>
                </c:pt>
                <c:pt idx="18">
                  <c:v>0.0006303279494800154</c:v>
                </c:pt>
                <c:pt idx="19">
                  <c:v>0.004704961205594321</c:v>
                </c:pt>
                <c:pt idx="20">
                  <c:v>-0.01135001342167111</c:v>
                </c:pt>
                <c:pt idx="21">
                  <c:v>-0.002381445975386351</c:v>
                </c:pt>
                <c:pt idx="22">
                  <c:v>0.002329052134485347</c:v>
                </c:pt>
                <c:pt idx="23">
                  <c:v>0.011149477600600574</c:v>
                </c:pt>
                <c:pt idx="24">
                  <c:v>0.011149477600600574</c:v>
                </c:pt>
                <c:pt idx="25">
                  <c:v>0.008526879690219466</c:v>
                </c:pt>
                <c:pt idx="26">
                  <c:v>0.005565415398807316</c:v>
                </c:pt>
                <c:pt idx="27">
                  <c:v>0.0025951547866560924</c:v>
                </c:pt>
                <c:pt idx="28">
                  <c:v>0.016256212839749037</c:v>
                </c:pt>
                <c:pt idx="29">
                  <c:v>0.016256212839749037</c:v>
                </c:pt>
                <c:pt idx="30">
                  <c:v>0.0037047507556676827</c:v>
                </c:pt>
                <c:pt idx="31">
                  <c:v>0.0005269998141927677</c:v>
                </c:pt>
                <c:pt idx="32">
                  <c:v>-0.0015982543418524217</c:v>
                </c:pt>
                <c:pt idx="33">
                  <c:v>-0.004792925063147834</c:v>
                </c:pt>
                <c:pt idx="34">
                  <c:v>0.004172310305839984</c:v>
                </c:pt>
                <c:pt idx="35">
                  <c:v>0.011583984720088727</c:v>
                </c:pt>
                <c:pt idx="36">
                  <c:v>0.005978540418297067</c:v>
                </c:pt>
                <c:pt idx="37">
                  <c:v>0.000165340413230697</c:v>
                </c:pt>
                <c:pt idx="38">
                  <c:v>0.0034228565297279236</c:v>
                </c:pt>
                <c:pt idx="39">
                  <c:v>0.005028864099761414</c:v>
                </c:pt>
                <c:pt idx="40">
                  <c:v>0.0055245957305167705</c:v>
                </c:pt>
                <c:pt idx="41">
                  <c:v>0.0031683142830833543</c:v>
                </c:pt>
                <c:pt idx="42">
                  <c:v>0.0031631427767500504</c:v>
                </c:pt>
                <c:pt idx="43">
                  <c:v>0.004560333173275402</c:v>
                </c:pt>
                <c:pt idx="44">
                  <c:v>0.031647301672477354</c:v>
                </c:pt>
                <c:pt idx="45">
                  <c:v>0.058401529912025976</c:v>
                </c:pt>
                <c:pt idx="46">
                  <c:v>0.05875445100782881</c:v>
                </c:pt>
              </c:numCache>
            </c:numRef>
          </c:val>
          <c:smooth val="0"/>
        </c:ser>
        <c:ser>
          <c:idx val="1"/>
          <c:order val="1"/>
          <c:tx>
            <c:v>RETURN OF SET INDEX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PERFORMANCE!$A$4:$A$100</c:f>
              <c:strCache>
                <c:ptCount val="97"/>
                <c:pt idx="0">
                  <c:v>22/10</c:v>
                </c:pt>
                <c:pt idx="1">
                  <c:v>24/10</c:v>
                </c:pt>
                <c:pt idx="2">
                  <c:v>25/10</c:v>
                </c:pt>
                <c:pt idx="3">
                  <c:v>28/10</c:v>
                </c:pt>
                <c:pt idx="4">
                  <c:v>29/10</c:v>
                </c:pt>
                <c:pt idx="5">
                  <c:v>30/10</c:v>
                </c:pt>
                <c:pt idx="6">
                  <c:v>31/10</c:v>
                </c:pt>
                <c:pt idx="7">
                  <c:v>1/11</c:v>
                </c:pt>
                <c:pt idx="8">
                  <c:v>4/11</c:v>
                </c:pt>
                <c:pt idx="9">
                  <c:v>5/11</c:v>
                </c:pt>
                <c:pt idx="10">
                  <c:v>6/11</c:v>
                </c:pt>
                <c:pt idx="11">
                  <c:v>7/11</c:v>
                </c:pt>
                <c:pt idx="12">
                  <c:v>8/11</c:v>
                </c:pt>
                <c:pt idx="13">
                  <c:v>11/11</c:v>
                </c:pt>
                <c:pt idx="14">
                  <c:v>12/11</c:v>
                </c:pt>
                <c:pt idx="15">
                  <c:v>13/11</c:v>
                </c:pt>
                <c:pt idx="16">
                  <c:v>14/11</c:v>
                </c:pt>
                <c:pt idx="17">
                  <c:v>15/11</c:v>
                </c:pt>
                <c:pt idx="18">
                  <c:v>18/11</c:v>
                </c:pt>
                <c:pt idx="19">
                  <c:v>19/11</c:v>
                </c:pt>
                <c:pt idx="20">
                  <c:v>20/11</c:v>
                </c:pt>
                <c:pt idx="21">
                  <c:v>21/11</c:v>
                </c:pt>
                <c:pt idx="22">
                  <c:v>22/11</c:v>
                </c:pt>
                <c:pt idx="23">
                  <c:v>25/11</c:v>
                </c:pt>
                <c:pt idx="24">
                  <c:v>26/11</c:v>
                </c:pt>
                <c:pt idx="25">
                  <c:v>27/11</c:v>
                </c:pt>
                <c:pt idx="26">
                  <c:v>28/11</c:v>
                </c:pt>
                <c:pt idx="27">
                  <c:v>29/11</c:v>
                </c:pt>
                <c:pt idx="28">
                  <c:v>2/12</c:v>
                </c:pt>
                <c:pt idx="29">
                  <c:v>3/12</c:v>
                </c:pt>
                <c:pt idx="30">
                  <c:v>4/12</c:v>
                </c:pt>
                <c:pt idx="31">
                  <c:v>6/12</c:v>
                </c:pt>
                <c:pt idx="32">
                  <c:v>9/12</c:v>
                </c:pt>
                <c:pt idx="33">
                  <c:v>11/12</c:v>
                </c:pt>
                <c:pt idx="34">
                  <c:v>12/12</c:v>
                </c:pt>
                <c:pt idx="35">
                  <c:v>13/12</c:v>
                </c:pt>
                <c:pt idx="36">
                  <c:v>16/12</c:v>
                </c:pt>
                <c:pt idx="37">
                  <c:v>17/12</c:v>
                </c:pt>
                <c:pt idx="38">
                  <c:v>18/12</c:v>
                </c:pt>
                <c:pt idx="39">
                  <c:v>19/12</c:v>
                </c:pt>
                <c:pt idx="40">
                  <c:v>20/12</c:v>
                </c:pt>
                <c:pt idx="41">
                  <c:v>23/12</c:v>
                </c:pt>
                <c:pt idx="42">
                  <c:v>24/12</c:v>
                </c:pt>
                <c:pt idx="43">
                  <c:v>25/12</c:v>
                </c:pt>
                <c:pt idx="44">
                  <c:v>26/12</c:v>
                </c:pt>
                <c:pt idx="45">
                  <c:v>27/12</c:v>
                </c:pt>
              </c:strCache>
            </c:strRef>
          </c:cat>
          <c:val>
            <c:numRef>
              <c:f>PERFORMANCE!$I$3:$I$100</c:f>
              <c:numCache>
                <c:ptCount val="98"/>
                <c:pt idx="0">
                  <c:v>0</c:v>
                </c:pt>
                <c:pt idx="1">
                  <c:v>0.005605902172650189</c:v>
                </c:pt>
                <c:pt idx="2">
                  <c:v>0.006703501895361824</c:v>
                </c:pt>
                <c:pt idx="3">
                  <c:v>0.012098925883359184</c:v>
                </c:pt>
                <c:pt idx="4">
                  <c:v>0.03781206368970722</c:v>
                </c:pt>
                <c:pt idx="5">
                  <c:v>0.028103597459501785</c:v>
                </c:pt>
                <c:pt idx="6">
                  <c:v>0.031070118154515238</c:v>
                </c:pt>
                <c:pt idx="7">
                  <c:v>0.037323639281275876</c:v>
                </c:pt>
                <c:pt idx="8">
                  <c:v>0.03861136113335577</c:v>
                </c:pt>
                <c:pt idx="9">
                  <c:v>0.041742651672385084</c:v>
                </c:pt>
                <c:pt idx="10">
                  <c:v>0.0332978356188733</c:v>
                </c:pt>
                <c:pt idx="11">
                  <c:v>0.027760550294084894</c:v>
                </c:pt>
                <c:pt idx="12">
                  <c:v>0.038105377880291696</c:v>
                </c:pt>
                <c:pt idx="13">
                  <c:v>0.031223488997619567</c:v>
                </c:pt>
                <c:pt idx="14">
                  <c:v>0.018153066462408336</c:v>
                </c:pt>
                <c:pt idx="15">
                  <c:v>0.0030543108967044305</c:v>
                </c:pt>
                <c:pt idx="16">
                  <c:v>-0.0010028369283744728</c:v>
                </c:pt>
                <c:pt idx="17">
                  <c:v>0.014360738594656261</c:v>
                </c:pt>
                <c:pt idx="18">
                  <c:v>0.03525198375871994</c:v>
                </c:pt>
                <c:pt idx="19">
                  <c:v>0.037666086610729864</c:v>
                </c:pt>
                <c:pt idx="20">
                  <c:v>0.027920917190399373</c:v>
                </c:pt>
                <c:pt idx="21">
                  <c:v>0.02384874932659077</c:v>
                </c:pt>
                <c:pt idx="22">
                  <c:v>0.04162375074631929</c:v>
                </c:pt>
                <c:pt idx="23">
                  <c:v>0.05320169963595208</c:v>
                </c:pt>
                <c:pt idx="24">
                  <c:v>0.05855209539976244</c:v>
                </c:pt>
                <c:pt idx="25">
                  <c:v>0.04944447737106797</c:v>
                </c:pt>
                <c:pt idx="26">
                  <c:v>0.04983206353977881</c:v>
                </c:pt>
                <c:pt idx="27">
                  <c:v>0.05796821962114036</c:v>
                </c:pt>
                <c:pt idx="28">
                  <c:v>0.05964270972517824</c:v>
                </c:pt>
                <c:pt idx="29">
                  <c:v>0.06449335373723644</c:v>
                </c:pt>
                <c:pt idx="30">
                  <c:v>0.057729778860644364</c:v>
                </c:pt>
                <c:pt idx="31">
                  <c:v>0.059789143478014416</c:v>
                </c:pt>
                <c:pt idx="32">
                  <c:v>0.060200169948119026</c:v>
                </c:pt>
                <c:pt idx="33">
                  <c:v>0.060912323115831224</c:v>
                </c:pt>
                <c:pt idx="34">
                  <c:v>0.0612134042708879</c:v>
                </c:pt>
                <c:pt idx="35">
                  <c:v>0.05026829399890191</c:v>
                </c:pt>
                <c:pt idx="36">
                  <c:v>0.03571619971461045</c:v>
                </c:pt>
                <c:pt idx="37">
                  <c:v>0.029343375458574565</c:v>
                </c:pt>
                <c:pt idx="38">
                  <c:v>0.02623541625760256</c:v>
                </c:pt>
                <c:pt idx="39">
                  <c:v>0.0199717765444263</c:v>
                </c:pt>
                <c:pt idx="40">
                  <c:v>0.018916503028939435</c:v>
                </c:pt>
                <c:pt idx="41">
                  <c:v>0.018231278189538982</c:v>
                </c:pt>
                <c:pt idx="42">
                  <c:v>0.01977409125202297</c:v>
                </c:pt>
                <c:pt idx="43">
                  <c:v>0.020858102092131358</c:v>
                </c:pt>
                <c:pt idx="44">
                  <c:v>0.02792503851819929</c:v>
                </c:pt>
                <c:pt idx="45">
                  <c:v>0.03344270921229393</c:v>
                </c:pt>
                <c:pt idx="46">
                  <c:v>0.03659444266569332</c:v>
                </c:pt>
              </c:numCache>
            </c:numRef>
          </c:val>
          <c:smooth val="0"/>
        </c:ser>
        <c:marker val="1"/>
        <c:axId val="15021040"/>
        <c:axId val="971633"/>
      </c:lineChart>
      <c:catAx>
        <c:axId val="15021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Cordia New"/>
                    <a:ea typeface="Cordia New"/>
                    <a:cs typeface="Cordia New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971633"/>
        <c:crosses val="autoZero"/>
        <c:auto val="1"/>
        <c:lblOffset val="100"/>
        <c:noMultiLvlLbl val="0"/>
      </c:catAx>
      <c:valAx>
        <c:axId val="971633"/>
        <c:scaling>
          <c:orientation val="minMax"/>
          <c:max val="0.2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ordia New"/>
                    <a:ea typeface="Cordia New"/>
                    <a:cs typeface="Cordia New"/>
                  </a:rPr>
                  <a:t>RETURN SINCE INCEPTION</a:t>
                </a:r>
              </a:p>
            </c:rich>
          </c:tx>
          <c:layout>
            <c:manualLayout>
              <c:xMode val="factor"/>
              <c:yMode val="factor"/>
              <c:x val="0.041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502104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022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pane xSplit="8" ySplit="2" topLeftCell="I6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78" sqref="I78"/>
    </sheetView>
  </sheetViews>
  <sheetFormatPr defaultColWidth="9.140625" defaultRowHeight="21.75"/>
  <cols>
    <col min="1" max="1" width="12.00390625" style="12" customWidth="1"/>
    <col min="2" max="2" width="10.00390625" style="12" customWidth="1"/>
    <col min="3" max="3" width="7.140625" style="12" customWidth="1"/>
    <col min="4" max="4" width="9.8515625" style="13" customWidth="1"/>
    <col min="5" max="7" width="10.8515625" style="5" customWidth="1"/>
    <col min="8" max="8" width="15.140625" style="5" customWidth="1"/>
    <col min="9" max="16384" width="14.7109375" style="1" customWidth="1"/>
  </cols>
  <sheetData>
    <row r="1" spans="1:8" s="9" customFormat="1" ht="21.75" thickBot="1">
      <c r="A1" s="65" t="s">
        <v>1</v>
      </c>
      <c r="B1" s="66"/>
      <c r="C1" s="66"/>
      <c r="D1" s="66"/>
      <c r="E1" s="66"/>
      <c r="F1" s="66"/>
      <c r="G1" s="66"/>
      <c r="H1" s="67"/>
    </row>
    <row r="2" spans="1:8" ht="19.5" thickBot="1">
      <c r="A2" s="28" t="s">
        <v>0</v>
      </c>
      <c r="B2" s="29" t="s">
        <v>2</v>
      </c>
      <c r="C2" s="29" t="s">
        <v>3</v>
      </c>
      <c r="D2" s="30" t="s">
        <v>4</v>
      </c>
      <c r="E2" s="31" t="s">
        <v>5</v>
      </c>
      <c r="F2" s="31" t="s">
        <v>6</v>
      </c>
      <c r="G2" s="31" t="s">
        <v>7</v>
      </c>
      <c r="H2" s="32" t="s">
        <v>8</v>
      </c>
    </row>
    <row r="3" spans="1:8" ht="18.75">
      <c r="A3" s="12" t="s">
        <v>29</v>
      </c>
      <c r="B3" s="12" t="s">
        <v>30</v>
      </c>
      <c r="C3" s="12" t="s">
        <v>16</v>
      </c>
      <c r="D3" s="13">
        <v>600</v>
      </c>
      <c r="E3" s="5">
        <v>26.75</v>
      </c>
      <c r="F3" s="5">
        <f>($D3*$E3)*0.002</f>
        <v>32.1</v>
      </c>
      <c r="G3" s="5">
        <f>$F3*0.07</f>
        <v>2.2470000000000003</v>
      </c>
      <c r="H3" s="5">
        <f>IF($C3="BUY",(($D3*$E3)+$F3+$G3)*(-1),IF($C3="SELL",($D3*$E3)-$F3-$G3))</f>
        <v>-16084.347</v>
      </c>
    </row>
    <row r="4" spans="1:8" ht="19.5" thickBot="1">
      <c r="A4" s="14"/>
      <c r="B4" s="14"/>
      <c r="C4" s="14"/>
      <c r="D4" s="15"/>
      <c r="E4" s="16"/>
      <c r="F4" s="16"/>
      <c r="G4" s="47" t="s">
        <v>14</v>
      </c>
      <c r="H4" s="47">
        <f>H3</f>
        <v>-16084.347</v>
      </c>
    </row>
    <row r="5" spans="1:8" ht="18.75">
      <c r="A5" s="12" t="s">
        <v>18</v>
      </c>
      <c r="B5" s="12" t="s">
        <v>31</v>
      </c>
      <c r="C5" s="12" t="s">
        <v>16</v>
      </c>
      <c r="D5" s="13">
        <v>100</v>
      </c>
      <c r="E5" s="5">
        <v>29.25</v>
      </c>
      <c r="F5" s="5">
        <f>($D5*$E5)*0.002</f>
        <v>5.8500000000000005</v>
      </c>
      <c r="G5" s="5">
        <f>$F5*0.07</f>
        <v>0.4095000000000001</v>
      </c>
      <c r="H5" s="5">
        <f>IF($C5="BUY",(($D5*$E5)+$F5+$G5)*(-1),IF($C5="SELL",($D5*$E5)-$F5-$G5))</f>
        <v>-2931.2595</v>
      </c>
    </row>
    <row r="6" spans="1:8" ht="19.5" thickBot="1">
      <c r="A6" s="14"/>
      <c r="B6" s="14"/>
      <c r="C6" s="14"/>
      <c r="D6" s="15"/>
      <c r="E6" s="16"/>
      <c r="F6" s="16"/>
      <c r="G6" s="47" t="s">
        <v>14</v>
      </c>
      <c r="H6" s="47">
        <f>H5</f>
        <v>-2931.2595</v>
      </c>
    </row>
    <row r="7" spans="1:10" ht="18.75">
      <c r="A7" s="12" t="s">
        <v>36</v>
      </c>
      <c r="B7" s="12" t="s">
        <v>13</v>
      </c>
      <c r="C7" s="12" t="s">
        <v>37</v>
      </c>
      <c r="D7" s="13">
        <v>1000</v>
      </c>
      <c r="E7" s="5">
        <v>51.5</v>
      </c>
      <c r="F7" s="5">
        <f>($D7*$E7)*0.002</f>
        <v>103</v>
      </c>
      <c r="G7" s="5">
        <f>$F7*0.07</f>
        <v>7.210000000000001</v>
      </c>
      <c r="H7" s="5">
        <f>IF($C7="BUY",(($D7*$E7)+$F7+$G7)*(-1),IF($C7="SELL",($D7*$E7)-$F7-$G7))</f>
        <v>51389.79</v>
      </c>
      <c r="J7" s="46">
        <f>-28260.348-18138.734+$H7</f>
        <v>4990.707999999999</v>
      </c>
    </row>
    <row r="8" spans="2:8" ht="18.75">
      <c r="B8" s="12" t="s">
        <v>31</v>
      </c>
      <c r="C8" s="12" t="s">
        <v>16</v>
      </c>
      <c r="D8" s="13">
        <v>900</v>
      </c>
      <c r="E8" s="5">
        <v>29.25</v>
      </c>
      <c r="F8" s="5">
        <f>($D8*$E8)*0.002</f>
        <v>52.65</v>
      </c>
      <c r="G8" s="5">
        <f>$F8*0.07</f>
        <v>3.6855</v>
      </c>
      <c r="H8" s="5">
        <f>IF($C8="BUY",(($D8*$E8)+$F8+$G8)*(-1),IF($C8="SELL",($D8*$E8)-$F8-$G8))</f>
        <v>-26381.3355</v>
      </c>
    </row>
    <row r="9" spans="1:8" ht="19.5" thickBot="1">
      <c r="A9" s="14"/>
      <c r="B9" s="14"/>
      <c r="C9" s="14"/>
      <c r="D9" s="15"/>
      <c r="E9" s="16"/>
      <c r="F9" s="16"/>
      <c r="G9" s="48" t="s">
        <v>38</v>
      </c>
      <c r="H9" s="48">
        <f>SUM(H7:H8)</f>
        <v>25008.4545</v>
      </c>
    </row>
    <row r="10" spans="1:8" ht="18.75">
      <c r="A10" s="12" t="s">
        <v>40</v>
      </c>
      <c r="B10" s="12" t="s">
        <v>31</v>
      </c>
      <c r="C10" s="12" t="s">
        <v>37</v>
      </c>
      <c r="D10" s="13">
        <v>100</v>
      </c>
      <c r="E10" s="5">
        <v>30</v>
      </c>
      <c r="F10" s="5">
        <f>($D10*$E10)*0.002</f>
        <v>6</v>
      </c>
      <c r="G10" s="5">
        <f>$F10*0.07</f>
        <v>0.42000000000000004</v>
      </c>
      <c r="H10" s="5">
        <f>IF($C10="BUY",(($D10*$E10)+$F10+$G10)*(-1),IF($C10="SELL",($D10*$E10)-$F10-$G10))</f>
        <v>2993.58</v>
      </c>
    </row>
    <row r="11" spans="1:8" ht="19.5" thickBot="1">
      <c r="A11" s="14"/>
      <c r="B11" s="14"/>
      <c r="C11" s="14"/>
      <c r="D11" s="15"/>
      <c r="E11" s="16"/>
      <c r="F11" s="16"/>
      <c r="G11" s="48" t="s">
        <v>38</v>
      </c>
      <c r="H11" s="48">
        <f>H10</f>
        <v>2993.58</v>
      </c>
    </row>
    <row r="12" spans="1:8" ht="18.75">
      <c r="A12" s="12" t="s">
        <v>42</v>
      </c>
      <c r="B12" s="12" t="s">
        <v>31</v>
      </c>
      <c r="C12" s="12" t="s">
        <v>16</v>
      </c>
      <c r="D12" s="13">
        <v>400</v>
      </c>
      <c r="E12" s="5">
        <v>29.5</v>
      </c>
      <c r="F12" s="5">
        <f>($D12*$E12)*0.002</f>
        <v>23.6</v>
      </c>
      <c r="G12" s="5">
        <f>$F12*0.07</f>
        <v>1.6520000000000004</v>
      </c>
      <c r="H12" s="5">
        <f>IF($C12="BUY",(($D12*$E12)+$F12+$G12)*(-1),IF($C12="SELL",($D12*$E12)-$F12-$G12))</f>
        <v>-11825.252</v>
      </c>
    </row>
    <row r="13" spans="1:8" ht="19.5" thickBot="1">
      <c r="A13" s="14"/>
      <c r="B13" s="14"/>
      <c r="C13" s="14"/>
      <c r="D13" s="15"/>
      <c r="E13" s="16"/>
      <c r="F13" s="16"/>
      <c r="G13" s="50" t="s">
        <v>14</v>
      </c>
      <c r="H13" s="50">
        <f>H12</f>
        <v>-11825.252</v>
      </c>
    </row>
    <row r="14" spans="1:8" ht="18.75">
      <c r="A14" s="12" t="s">
        <v>44</v>
      </c>
      <c r="B14" s="12" t="s">
        <v>31</v>
      </c>
      <c r="C14" s="12" t="s">
        <v>16</v>
      </c>
      <c r="D14" s="13">
        <v>500</v>
      </c>
      <c r="E14" s="5">
        <v>29.25</v>
      </c>
      <c r="F14" s="5">
        <f>($D14*$E14)*0.002</f>
        <v>29.25</v>
      </c>
      <c r="G14" s="5">
        <f>$F14*0.07</f>
        <v>2.0475000000000003</v>
      </c>
      <c r="H14" s="5">
        <f>IF($C14="BUY",(($D14*$E14)+$F14+$G14)*(-1),IF($C14="SELL",($D14*$E14)-$F14-$G14))</f>
        <v>-14656.2975</v>
      </c>
    </row>
    <row r="15" spans="1:8" ht="19.5" thickBot="1">
      <c r="A15" s="14"/>
      <c r="B15" s="14"/>
      <c r="C15" s="14"/>
      <c r="D15" s="15"/>
      <c r="E15" s="16"/>
      <c r="F15" s="16"/>
      <c r="G15" s="50" t="s">
        <v>14</v>
      </c>
      <c r="H15" s="50">
        <f>H14</f>
        <v>-14656.2975</v>
      </c>
    </row>
    <row r="16" spans="1:8" ht="18.75">
      <c r="A16" s="12" t="s">
        <v>49</v>
      </c>
      <c r="B16" s="12" t="s">
        <v>31</v>
      </c>
      <c r="C16" s="12" t="s">
        <v>37</v>
      </c>
      <c r="D16" s="13">
        <v>500</v>
      </c>
      <c r="E16" s="5">
        <v>32.75</v>
      </c>
      <c r="F16" s="5">
        <f>($D16*$E16)*0.002</f>
        <v>32.75</v>
      </c>
      <c r="G16" s="5">
        <f>$F16*0.07</f>
        <v>2.2925000000000004</v>
      </c>
      <c r="H16" s="5">
        <f>IF($C16="BUY",(($D16*$E16)+$F16+$G16)*(-1),IF($C16="SELL",($D16*$E16)-$F16-$G16))</f>
        <v>16339.9575</v>
      </c>
    </row>
    <row r="17" spans="2:9" ht="18.75">
      <c r="B17" s="12" t="s">
        <v>31</v>
      </c>
      <c r="C17" s="12" t="s">
        <v>16</v>
      </c>
      <c r="D17" s="13">
        <v>500</v>
      </c>
      <c r="E17" s="5">
        <v>31.5</v>
      </c>
      <c r="F17" s="5">
        <f>($D17*$E17)*0.002</f>
        <v>31.5</v>
      </c>
      <c r="G17" s="5">
        <f>$F17*0.07</f>
        <v>2.205</v>
      </c>
      <c r="H17" s="5">
        <f>IF($C17="BUY",(($D17*$E17)+$F17+$G17)*(-1),IF($C17="SELL",($D17*$E17)-$F17-$G17))</f>
        <v>-15783.705</v>
      </c>
      <c r="I17" s="7"/>
    </row>
    <row r="18" spans="1:8" ht="19.5" thickBot="1">
      <c r="A18" s="14"/>
      <c r="B18" s="14"/>
      <c r="C18" s="14"/>
      <c r="D18" s="15"/>
      <c r="E18" s="16"/>
      <c r="F18" s="16"/>
      <c r="G18" s="55" t="s">
        <v>38</v>
      </c>
      <c r="H18" s="55">
        <f>SUM(H16:H17)</f>
        <v>556.2525000000005</v>
      </c>
    </row>
    <row r="19" spans="1:8" ht="18.75">
      <c r="A19" s="12" t="s">
        <v>54</v>
      </c>
      <c r="B19" s="12" t="s">
        <v>31</v>
      </c>
      <c r="C19" s="12" t="s">
        <v>16</v>
      </c>
      <c r="D19" s="13">
        <v>500</v>
      </c>
      <c r="E19" s="5">
        <v>29.75</v>
      </c>
      <c r="F19" s="5">
        <f>($D19*$E19)*0.002</f>
        <v>29.75</v>
      </c>
      <c r="G19" s="5">
        <f>$F19*0.07</f>
        <v>2.0825</v>
      </c>
      <c r="H19" s="5">
        <f>IF($C19="BUY",(($D19*$E19)+$F19+$G19)*(-1),IF($C19="SELL",($D19*$E19)-$F19-$G19))</f>
        <v>-14906.8325</v>
      </c>
    </row>
    <row r="20" spans="1:8" ht="19.5" thickBot="1">
      <c r="A20" s="14"/>
      <c r="B20" s="14"/>
      <c r="C20" s="56"/>
      <c r="D20" s="15"/>
      <c r="E20" s="16"/>
      <c r="F20" s="16"/>
      <c r="G20" s="50" t="s">
        <v>14</v>
      </c>
      <c r="H20" s="50">
        <f>H19</f>
        <v>-14906.8325</v>
      </c>
    </row>
    <row r="21" spans="1:8" ht="18.75">
      <c r="A21" s="12" t="s">
        <v>56</v>
      </c>
      <c r="B21" s="12" t="s">
        <v>31</v>
      </c>
      <c r="C21" s="12" t="s">
        <v>16</v>
      </c>
      <c r="D21" s="13">
        <v>300</v>
      </c>
      <c r="E21" s="5">
        <v>29.5</v>
      </c>
      <c r="F21" s="5">
        <f>($D21*$E21)*0.002</f>
        <v>17.7</v>
      </c>
      <c r="G21" s="5">
        <f>$F21*0.07</f>
        <v>1.239</v>
      </c>
      <c r="H21" s="5">
        <f>IF($C21="BUY",(($D21*$E21)+$F21+$G21)*(-1),IF($C21="SELL",($D21*$E21)-$F21-$G21))</f>
        <v>-8868.939</v>
      </c>
    </row>
    <row r="22" spans="1:8" ht="19.5" thickBot="1">
      <c r="A22" s="14"/>
      <c r="B22" s="14"/>
      <c r="C22" s="14"/>
      <c r="D22" s="15"/>
      <c r="E22" s="16"/>
      <c r="F22" s="16"/>
      <c r="G22" s="50" t="s">
        <v>14</v>
      </c>
      <c r="H22" s="50">
        <f>H21</f>
        <v>-8868.939</v>
      </c>
    </row>
    <row r="23" spans="1:8" ht="18.75">
      <c r="A23" s="12" t="s">
        <v>58</v>
      </c>
      <c r="B23" s="12" t="s">
        <v>30</v>
      </c>
      <c r="C23" s="12" t="s">
        <v>37</v>
      </c>
      <c r="D23" s="13">
        <v>400</v>
      </c>
      <c r="E23" s="5">
        <v>27.5</v>
      </c>
      <c r="F23" s="5">
        <f>($D23*$E23)*0.002</f>
        <v>22</v>
      </c>
      <c r="G23" s="5">
        <f>$F23*0.07</f>
        <v>1.54</v>
      </c>
      <c r="H23" s="5">
        <f>IF($C23="BUY",(($D23*$E23)+$F23+$G23)*(-1),IF($C23="SELL",($D23*$E23)-$F23-$G23))</f>
        <v>10976.46</v>
      </c>
    </row>
    <row r="24" spans="2:8" ht="18.75">
      <c r="B24" s="12" t="s">
        <v>31</v>
      </c>
      <c r="C24" s="12" t="s">
        <v>16</v>
      </c>
      <c r="D24" s="13">
        <v>400</v>
      </c>
      <c r="E24" s="5">
        <v>28.75</v>
      </c>
      <c r="F24" s="5">
        <f>($D24*$E24)*0.002</f>
        <v>23</v>
      </c>
      <c r="G24" s="5">
        <f>$F24*0.07</f>
        <v>1.61</v>
      </c>
      <c r="H24" s="5">
        <f>IF($C24="BUY",(($D24*$E24)+$F24+$G24)*(-1),IF($C24="SELL",($D24*$E24)-$F24-$G24))</f>
        <v>-11524.61</v>
      </c>
    </row>
    <row r="25" spans="1:8" ht="19.5" thickBot="1">
      <c r="A25" s="14"/>
      <c r="B25" s="14"/>
      <c r="C25" s="14"/>
      <c r="D25" s="15"/>
      <c r="E25" s="16"/>
      <c r="F25" s="16"/>
      <c r="G25" s="50" t="s">
        <v>14</v>
      </c>
      <c r="H25" s="50">
        <f>SUM(H23:H24)</f>
        <v>-548.1500000000015</v>
      </c>
    </row>
    <row r="26" spans="1:8" ht="18.75">
      <c r="A26" s="12" t="s">
        <v>62</v>
      </c>
      <c r="B26" s="12" t="s">
        <v>30</v>
      </c>
      <c r="C26" s="12" t="s">
        <v>37</v>
      </c>
      <c r="D26" s="13">
        <v>400</v>
      </c>
      <c r="E26" s="5">
        <v>24.5</v>
      </c>
      <c r="F26" s="5">
        <f>($D26*$E26)*0.002</f>
        <v>19.6</v>
      </c>
      <c r="G26" s="5">
        <f>$F26*0.07</f>
        <v>1.3720000000000003</v>
      </c>
      <c r="H26" s="5">
        <f>IF($C26="BUY",(($D26*$E26)+$F26+$G26)*(-1),IF($C26="SELL",($D26*$E26)-$F26-$G26))</f>
        <v>9779.028</v>
      </c>
    </row>
    <row r="27" spans="2:8" ht="18.75">
      <c r="B27" s="12" t="s">
        <v>31</v>
      </c>
      <c r="C27" s="12" t="s">
        <v>37</v>
      </c>
      <c r="D27" s="13">
        <v>700</v>
      </c>
      <c r="E27" s="5">
        <v>28.5</v>
      </c>
      <c r="F27" s="5">
        <f>($D27*$E27)*0.002</f>
        <v>39.9</v>
      </c>
      <c r="G27" s="5">
        <f>$F27*0.07</f>
        <v>2.793</v>
      </c>
      <c r="H27" s="5">
        <f>IF($C27="BUY",(($D27*$E27)+$F27+$G27)*(-1),IF($C27="SELL",($D27*$E27)-$F27-$G27))</f>
        <v>19907.306999999997</v>
      </c>
    </row>
    <row r="28" spans="1:8" ht="19.5" thickBot="1">
      <c r="A28" s="14"/>
      <c r="B28" s="14"/>
      <c r="C28" s="14"/>
      <c r="D28" s="15"/>
      <c r="E28" s="16"/>
      <c r="F28" s="16"/>
      <c r="G28" s="55" t="s">
        <v>38</v>
      </c>
      <c r="H28" s="55">
        <f>SUM(H26:H27)</f>
        <v>29686.335</v>
      </c>
    </row>
    <row r="29" spans="1:8" ht="18.75">
      <c r="A29" s="12" t="s">
        <v>64</v>
      </c>
      <c r="B29" s="12" t="s">
        <v>31</v>
      </c>
      <c r="C29" s="12" t="s">
        <v>37</v>
      </c>
      <c r="D29" s="13">
        <v>1500</v>
      </c>
      <c r="E29" s="5">
        <v>29.5</v>
      </c>
      <c r="F29" s="5">
        <f>($D29*$E29)*0.002</f>
        <v>88.5</v>
      </c>
      <c r="G29" s="5">
        <f>$F29*0.07</f>
        <v>6.195</v>
      </c>
      <c r="H29" s="5">
        <f>IF($C29="BUY",(($D29*$E29)+$F29+$G29)*(-1),IF($C29="SELL",($D29*$E29)-$F29-$G29))</f>
        <v>44155.305</v>
      </c>
    </row>
    <row r="30" spans="1:8" ht="19.5" thickBot="1">
      <c r="A30" s="14"/>
      <c r="B30" s="14"/>
      <c r="C30" s="14"/>
      <c r="D30" s="15"/>
      <c r="E30" s="16"/>
      <c r="F30" s="16"/>
      <c r="G30" s="55" t="s">
        <v>38</v>
      </c>
      <c r="H30" s="55">
        <f>H29</f>
        <v>44155.305</v>
      </c>
    </row>
    <row r="31" spans="1:8" ht="18.75">
      <c r="A31" s="12" t="s">
        <v>67</v>
      </c>
      <c r="B31" s="12" t="s">
        <v>31</v>
      </c>
      <c r="C31" s="12" t="s">
        <v>16</v>
      </c>
      <c r="D31" s="13">
        <v>1000</v>
      </c>
      <c r="E31" s="5">
        <v>28.75</v>
      </c>
      <c r="F31" s="5">
        <f>($D31*$E31)*0.002</f>
        <v>57.5</v>
      </c>
      <c r="G31" s="5">
        <f>$F31*0.07</f>
        <v>4.025</v>
      </c>
      <c r="H31" s="5">
        <f>IF($C31="BUY",(($D31*$E31)+$F31+$G31)*(-1),IF($C31="SELL",($D31*$E31)-$F31-$G31))</f>
        <v>-28811.525</v>
      </c>
    </row>
    <row r="32" spans="2:8" ht="18.75">
      <c r="B32" s="12" t="s">
        <v>31</v>
      </c>
      <c r="C32" s="12" t="s">
        <v>16</v>
      </c>
      <c r="D32" s="13">
        <v>100</v>
      </c>
      <c r="E32" s="5">
        <v>28.25</v>
      </c>
      <c r="F32" s="5">
        <f>($D32*$E32)*0.002</f>
        <v>5.65</v>
      </c>
      <c r="G32" s="5">
        <f>$F32*0.07</f>
        <v>0.3955000000000001</v>
      </c>
      <c r="H32" s="5">
        <f>IF($C32="BUY",(($D32*$E32)+$F32+$G32)*(-1),IF($C32="SELL",($D32*$E32)-$F32-$G32))</f>
        <v>-2831.0455</v>
      </c>
    </row>
    <row r="33" spans="1:8" ht="19.5" thickBot="1">
      <c r="A33" s="14"/>
      <c r="B33" s="14"/>
      <c r="C33" s="14"/>
      <c r="D33" s="15"/>
      <c r="E33" s="16"/>
      <c r="F33" s="16"/>
      <c r="G33" s="50" t="s">
        <v>14</v>
      </c>
      <c r="H33" s="50">
        <f>SUM(H31:H32)</f>
        <v>-31642.5705</v>
      </c>
    </row>
    <row r="34" spans="1:8" ht="18.75">
      <c r="A34" s="12" t="s">
        <v>68</v>
      </c>
      <c r="B34" s="12" t="s">
        <v>31</v>
      </c>
      <c r="C34" s="12" t="s">
        <v>37</v>
      </c>
      <c r="D34" s="13">
        <v>1500</v>
      </c>
      <c r="E34" s="5">
        <v>29.25</v>
      </c>
      <c r="F34" s="5">
        <f>($D34*$E34)*0.002</f>
        <v>87.75</v>
      </c>
      <c r="G34" s="5">
        <f>$F34*0.07</f>
        <v>6.142500000000001</v>
      </c>
      <c r="H34" s="5">
        <f>IF($C34="BUY",(($D34*$E34)+$F34+$G34)*(-1),IF($C34="SELL",($D34*$E34)-$F34-$G34))</f>
        <v>43781.1075</v>
      </c>
    </row>
    <row r="35" spans="1:8" ht="19.5" thickBot="1">
      <c r="A35" s="14"/>
      <c r="B35" s="14"/>
      <c r="C35" s="14"/>
      <c r="D35" s="15"/>
      <c r="E35" s="16"/>
      <c r="F35" s="16"/>
      <c r="G35" s="55" t="s">
        <v>38</v>
      </c>
      <c r="H35" s="55">
        <f>H34</f>
        <v>43781.1075</v>
      </c>
    </row>
    <row r="36" spans="1:8" ht="18.75">
      <c r="A36" s="12" t="s">
        <v>69</v>
      </c>
      <c r="B36" s="12" t="s">
        <v>32</v>
      </c>
      <c r="C36" s="12" t="s">
        <v>16</v>
      </c>
      <c r="D36" s="13">
        <v>500</v>
      </c>
      <c r="E36" s="5">
        <v>38.5</v>
      </c>
      <c r="F36" s="5">
        <f>($D36*$E36)*0.002</f>
        <v>38.5</v>
      </c>
      <c r="G36" s="5">
        <f>$F36*0.07</f>
        <v>2.6950000000000003</v>
      </c>
      <c r="H36" s="5">
        <f>IF($C36="BUY",(($D36*$E36)+$F36+$G36)*(-1),IF($C36="SELL",($D36*$E36)-$F36-$G36))</f>
        <v>-19291.195</v>
      </c>
    </row>
    <row r="37" spans="2:10" ht="18.75">
      <c r="B37" s="12" t="s">
        <v>31</v>
      </c>
      <c r="C37" s="12" t="s">
        <v>37</v>
      </c>
      <c r="D37" s="13">
        <v>400</v>
      </c>
      <c r="E37" s="5">
        <v>31.25</v>
      </c>
      <c r="F37" s="5">
        <f>($D37*$E37)*0.002</f>
        <v>25</v>
      </c>
      <c r="G37" s="5">
        <f>$F37*0.07</f>
        <v>1.7500000000000002</v>
      </c>
      <c r="H37" s="5">
        <f>IF($C37="BUY",(($D37*$E37)+$F37+$G37)*(-1),IF($C37="SELL",($D37*$E37)-$F37-$G37))</f>
        <v>12473.25</v>
      </c>
      <c r="J37" s="46">
        <f>SUM(H5,H8,H10,H12,H14,H16:H17,H19,H21,H24,H27,H29,H31:H32,H34,H37)</f>
        <v>1129.7054999999891</v>
      </c>
    </row>
    <row r="38" spans="1:8" ht="19.5" thickBot="1">
      <c r="A38" s="14"/>
      <c r="B38" s="14"/>
      <c r="C38" s="14"/>
      <c r="D38" s="15"/>
      <c r="E38" s="16"/>
      <c r="F38" s="16"/>
      <c r="G38" s="50" t="s">
        <v>14</v>
      </c>
      <c r="H38" s="50">
        <f>SUM(H36:H37)</f>
        <v>-6817.945</v>
      </c>
    </row>
    <row r="39" spans="1:8" ht="18.75">
      <c r="A39" s="12" t="s">
        <v>74</v>
      </c>
      <c r="B39" s="12" t="s">
        <v>32</v>
      </c>
      <c r="C39" s="12" t="s">
        <v>16</v>
      </c>
      <c r="D39" s="13">
        <v>300</v>
      </c>
      <c r="E39" s="5">
        <v>38.25</v>
      </c>
      <c r="F39" s="5">
        <f>($D39*$E39)*0.002</f>
        <v>22.95</v>
      </c>
      <c r="G39" s="5">
        <f>$F39*0.07</f>
        <v>1.6065</v>
      </c>
      <c r="H39" s="5">
        <f>IF($C39="BUY",(($D39*$E39)+$F39+$G39)*(-1),IF($C39="SELL",($D39*$E39)-$F39-$G39))</f>
        <v>-11499.5565</v>
      </c>
    </row>
    <row r="40" spans="1:8" ht="19.5" thickBot="1">
      <c r="A40" s="14"/>
      <c r="B40" s="14"/>
      <c r="C40" s="14"/>
      <c r="D40" s="15"/>
      <c r="E40" s="16"/>
      <c r="F40" s="16"/>
      <c r="G40" s="50" t="s">
        <v>14</v>
      </c>
      <c r="H40" s="50">
        <f>H39</f>
        <v>-11499.5565</v>
      </c>
    </row>
    <row r="41" spans="1:10" ht="18.75">
      <c r="A41" s="12" t="s">
        <v>77</v>
      </c>
      <c r="B41" s="12" t="s">
        <v>32</v>
      </c>
      <c r="C41" s="12" t="s">
        <v>37</v>
      </c>
      <c r="D41" s="13">
        <v>500</v>
      </c>
      <c r="E41" s="5">
        <v>39.5</v>
      </c>
      <c r="F41" s="5">
        <f>($D41*$E41)*0.002</f>
        <v>39.5</v>
      </c>
      <c r="G41" s="5">
        <f>$F41*0.07</f>
        <v>2.765</v>
      </c>
      <c r="H41" s="5">
        <f>IF($C41="BUY",(($D41*$E41)+$F41+$G41)*(-1),IF($C41="SELL",($D41*$E41)-$F41-$G41))</f>
        <v>19707.735</v>
      </c>
      <c r="J41" s="7"/>
    </row>
    <row r="42" spans="2:8" ht="18.75">
      <c r="B42" s="12" t="s">
        <v>32</v>
      </c>
      <c r="C42" s="12" t="s">
        <v>16</v>
      </c>
      <c r="D42" s="13">
        <v>500</v>
      </c>
      <c r="E42" s="5">
        <v>39.5</v>
      </c>
      <c r="F42" s="5">
        <f>($D42*$E42)*0.002</f>
        <v>39.5</v>
      </c>
      <c r="G42" s="5">
        <f>$F42*0.07</f>
        <v>2.765</v>
      </c>
      <c r="H42" s="5">
        <f>IF($C42="BUY",(($D42*$E42)+$F42+$G42)*(-1),IF($C42="SELL",($D42*$E42)-$F42-$G42))</f>
        <v>-19792.265</v>
      </c>
    </row>
    <row r="43" spans="1:8" ht="19.5" thickBot="1">
      <c r="A43" s="14"/>
      <c r="B43" s="14"/>
      <c r="C43" s="14"/>
      <c r="D43" s="15"/>
      <c r="E43" s="16"/>
      <c r="F43" s="16"/>
      <c r="G43" s="50" t="s">
        <v>14</v>
      </c>
      <c r="H43" s="50">
        <f>SUM(H41:H42)</f>
        <v>-84.52999999999884</v>
      </c>
    </row>
    <row r="44" spans="1:8" ht="18.75">
      <c r="A44" s="12" t="s">
        <v>91</v>
      </c>
      <c r="B44" s="12" t="s">
        <v>32</v>
      </c>
      <c r="C44" s="12" t="s">
        <v>37</v>
      </c>
      <c r="D44" s="13">
        <v>500</v>
      </c>
      <c r="E44" s="5">
        <v>38.5</v>
      </c>
      <c r="F44" s="5">
        <f>($D44*$E44)*0.002</f>
        <v>38.5</v>
      </c>
      <c r="G44" s="5">
        <f>$F44*0.07</f>
        <v>2.6950000000000003</v>
      </c>
      <c r="H44" s="5">
        <f>IF($C44="BUY",(($D44*$E44)+$F44+$G44)*(-1),IF($C44="SELL",($D44*$E44)-$F44-$G44))</f>
        <v>19208.805</v>
      </c>
    </row>
    <row r="45" spans="1:8" ht="19.5" thickBot="1">
      <c r="A45" s="14"/>
      <c r="B45" s="14"/>
      <c r="C45" s="14"/>
      <c r="D45" s="15"/>
      <c r="E45" s="16"/>
      <c r="F45" s="16"/>
      <c r="G45" s="55" t="s">
        <v>38</v>
      </c>
      <c r="H45" s="55">
        <f>H44</f>
        <v>19208.805</v>
      </c>
    </row>
    <row r="46" spans="1:8" ht="18.75">
      <c r="A46" s="12" t="s">
        <v>102</v>
      </c>
      <c r="B46" s="12" t="s">
        <v>30</v>
      </c>
      <c r="C46" s="12" t="s">
        <v>37</v>
      </c>
      <c r="D46" s="13">
        <v>600</v>
      </c>
      <c r="E46" s="5">
        <v>23.5</v>
      </c>
      <c r="F46" s="5">
        <f>($D46*$E46)*0.002</f>
        <v>28.2</v>
      </c>
      <c r="G46" s="5">
        <f>$F46*0.07</f>
        <v>1.9740000000000002</v>
      </c>
      <c r="H46" s="5">
        <f>IF($C46="BUY",(($D46*$E46)+$F46+$G46)*(-1),IF($C46="SELL",($D46*$E46)-$F46-$G46))</f>
        <v>14069.826</v>
      </c>
    </row>
    <row r="47" spans="2:8" ht="18.75">
      <c r="B47" s="12" t="s">
        <v>103</v>
      </c>
      <c r="C47" s="12" t="s">
        <v>16</v>
      </c>
      <c r="D47" s="13">
        <v>500</v>
      </c>
      <c r="E47" s="5">
        <v>23.7</v>
      </c>
      <c r="F47" s="5">
        <f>($D47*$E47)*0.002</f>
        <v>23.7</v>
      </c>
      <c r="G47" s="5">
        <f>$F47*0.07</f>
        <v>1.659</v>
      </c>
      <c r="H47" s="5">
        <f>IF($C47="BUY",(($D47*$E47)+$F47+$G47)*(-1),IF($C47="SELL",($D47*$E47)-$F47-$G47))</f>
        <v>-11875.359</v>
      </c>
    </row>
    <row r="48" spans="2:8" ht="18.75">
      <c r="B48" s="12" t="s">
        <v>103</v>
      </c>
      <c r="C48" s="12" t="s">
        <v>16</v>
      </c>
      <c r="D48" s="13">
        <v>300</v>
      </c>
      <c r="E48" s="5">
        <v>23.3</v>
      </c>
      <c r="F48" s="5">
        <f>($D48*$E48)*0.002</f>
        <v>13.98</v>
      </c>
      <c r="G48" s="5">
        <f>$F48*0.07</f>
        <v>0.9786000000000001</v>
      </c>
      <c r="H48" s="5">
        <f>IF($C48="BUY",(($D48*$E48)+$F48+$G48)*(-1),IF($C48="SELL",($D48*$E48)-$F48-$G48))</f>
        <v>-7004.9586</v>
      </c>
    </row>
    <row r="49" spans="2:8" ht="18.75">
      <c r="B49" s="12" t="s">
        <v>103</v>
      </c>
      <c r="C49" s="12" t="s">
        <v>16</v>
      </c>
      <c r="D49" s="13">
        <v>300</v>
      </c>
      <c r="E49" s="5">
        <v>23.2</v>
      </c>
      <c r="F49" s="5">
        <f>($D49*$E49)*0.002</f>
        <v>13.92</v>
      </c>
      <c r="G49" s="5">
        <f>$F49*0.07</f>
        <v>0.9744</v>
      </c>
      <c r="H49" s="5">
        <f>IF($C49="BUY",(($D49*$E49)+$F49+$G49)*(-1),IF($C49="SELL",($D49*$E49)-$F49-$G49))</f>
        <v>-6974.8944</v>
      </c>
    </row>
    <row r="50" spans="1:8" ht="19.5" thickBot="1">
      <c r="A50" s="14"/>
      <c r="B50" s="14"/>
      <c r="C50" s="14"/>
      <c r="D50" s="15"/>
      <c r="E50" s="16"/>
      <c r="F50" s="16"/>
      <c r="G50" s="50" t="s">
        <v>14</v>
      </c>
      <c r="H50" s="50">
        <f>SUM(H46:H49)</f>
        <v>-11785.386000000002</v>
      </c>
    </row>
    <row r="51" spans="1:8" ht="18.75">
      <c r="A51" s="12" t="s">
        <v>104</v>
      </c>
      <c r="B51" s="12" t="s">
        <v>103</v>
      </c>
      <c r="C51" s="12" t="s">
        <v>37</v>
      </c>
      <c r="D51" s="13">
        <v>300</v>
      </c>
      <c r="E51" s="5">
        <v>24</v>
      </c>
      <c r="F51" s="5">
        <f>($D51*$E51)*0.002</f>
        <v>14.4</v>
      </c>
      <c r="G51" s="5">
        <f>$F51*0.07</f>
        <v>1.0080000000000002</v>
      </c>
      <c r="H51" s="5">
        <f>IF($C51="BUY",(($D51*$E51)+$F51+$G51)*(-1),IF($C51="SELL",($D51*$E51)-$F51-$G51))</f>
        <v>7184.592000000001</v>
      </c>
    </row>
    <row r="52" spans="2:8" ht="18.75">
      <c r="B52" s="12" t="s">
        <v>103</v>
      </c>
      <c r="C52" s="12" t="s">
        <v>37</v>
      </c>
      <c r="D52" s="13">
        <v>800</v>
      </c>
      <c r="E52" s="5">
        <v>23.9</v>
      </c>
      <c r="F52" s="5">
        <f>($D52*$E52)*0.002</f>
        <v>38.24</v>
      </c>
      <c r="G52" s="5">
        <f>$F52*0.07</f>
        <v>2.6768000000000005</v>
      </c>
      <c r="H52" s="5">
        <f>IF($C52="BUY",(($D52*$E52)+$F52+$G52)*(-1),IF($C52="SELL",($D52*$E52)-$F52-$G52))</f>
        <v>19079.083199999997</v>
      </c>
    </row>
    <row r="53" spans="2:8" ht="18.75">
      <c r="B53" s="12" t="s">
        <v>105</v>
      </c>
      <c r="C53" s="12" t="s">
        <v>16</v>
      </c>
      <c r="D53" s="13">
        <v>4000</v>
      </c>
      <c r="E53" s="5">
        <v>7.75</v>
      </c>
      <c r="F53" s="5">
        <f>($D53*$E53)*0.002</f>
        <v>62</v>
      </c>
      <c r="G53" s="5">
        <f>$F53*0.07</f>
        <v>4.340000000000001</v>
      </c>
      <c r="H53" s="5">
        <f>IF($C53="BUY",(($D53*$E53)+$F53+$G53)*(-1),IF($C53="SELL",($D53*$E53)-$F53-$G53))</f>
        <v>-31066.34</v>
      </c>
    </row>
    <row r="54" spans="1:8" ht="19.5" thickBot="1">
      <c r="A54" s="14"/>
      <c r="B54" s="14"/>
      <c r="C54" s="14"/>
      <c r="D54" s="15"/>
      <c r="E54" s="16"/>
      <c r="F54" s="16"/>
      <c r="G54" s="50" t="s">
        <v>14</v>
      </c>
      <c r="H54" s="50">
        <f>SUM(H51:H53)</f>
        <v>-4802.664800000002</v>
      </c>
    </row>
    <row r="55" spans="1:8" ht="18.75">
      <c r="A55" s="12" t="s">
        <v>108</v>
      </c>
      <c r="B55" s="12" t="s">
        <v>32</v>
      </c>
      <c r="C55" s="12" t="s">
        <v>37</v>
      </c>
      <c r="D55" s="13">
        <v>1000</v>
      </c>
      <c r="E55" s="5">
        <v>37.25</v>
      </c>
      <c r="F55" s="5">
        <f>($D55*$E55)*0.002</f>
        <v>74.5</v>
      </c>
      <c r="G55" s="5">
        <f>$F55*0.07</f>
        <v>5.215000000000001</v>
      </c>
      <c r="H55" s="5">
        <f>IF($C55="BUY",(($D55*$E55)+$F55+$G55)*(-1),IF($C55="SELL",($D55*$E55)-$F55-$G55))</f>
        <v>37170.285</v>
      </c>
    </row>
    <row r="56" spans="1:8" ht="19.5" thickBot="1">
      <c r="A56" s="14"/>
      <c r="B56" s="14"/>
      <c r="C56" s="14"/>
      <c r="D56" s="15"/>
      <c r="E56" s="16"/>
      <c r="F56" s="16"/>
      <c r="G56" s="55" t="s">
        <v>38</v>
      </c>
      <c r="H56" s="55">
        <f>H55</f>
        <v>37170.285</v>
      </c>
    </row>
    <row r="57" spans="1:8" ht="18.75">
      <c r="A57" s="12" t="s">
        <v>111</v>
      </c>
      <c r="B57" s="12" t="s">
        <v>105</v>
      </c>
      <c r="C57" s="12" t="s">
        <v>37</v>
      </c>
      <c r="D57" s="13">
        <v>2000</v>
      </c>
      <c r="E57" s="5">
        <v>8</v>
      </c>
      <c r="F57" s="5">
        <f>($D57*$E57)*0.002</f>
        <v>32</v>
      </c>
      <c r="G57" s="5">
        <f>$F57*0.07</f>
        <v>2.24</v>
      </c>
      <c r="H57" s="5">
        <f>IF($C57="BUY",(($D57*$E57)+$F57+$G57)*(-1),IF($C57="SELL",($D57*$E57)-$F57-$G57))</f>
        <v>15965.76</v>
      </c>
    </row>
    <row r="58" spans="1:8" ht="19.5" thickBot="1">
      <c r="A58" s="14"/>
      <c r="B58" s="14"/>
      <c r="C58" s="14"/>
      <c r="D58" s="15"/>
      <c r="E58" s="16"/>
      <c r="F58" s="16"/>
      <c r="G58" s="55" t="s">
        <v>38</v>
      </c>
      <c r="H58" s="55">
        <f>H57</f>
        <v>15965.76</v>
      </c>
    </row>
    <row r="59" spans="1:8" ht="18.75">
      <c r="A59" s="12" t="s">
        <v>115</v>
      </c>
      <c r="B59" s="12" t="s">
        <v>13</v>
      </c>
      <c r="C59" s="12" t="s">
        <v>16</v>
      </c>
      <c r="D59" s="13">
        <v>300</v>
      </c>
      <c r="E59" s="5">
        <v>79</v>
      </c>
      <c r="F59" s="5">
        <f>($D59*$E59)*0.002</f>
        <v>47.4</v>
      </c>
      <c r="G59" s="5">
        <f>$F59*0.07</f>
        <v>3.318</v>
      </c>
      <c r="H59" s="5">
        <f>IF($C59="BUY",(($D59*$E59)+$F59+$G59)*(-1),IF($C59="SELL",($D59*$E59)-$F59-$G59))</f>
        <v>-23750.718</v>
      </c>
    </row>
    <row r="60" spans="2:8" ht="18.75">
      <c r="B60" s="12" t="s">
        <v>13</v>
      </c>
      <c r="C60" s="12" t="s">
        <v>37</v>
      </c>
      <c r="D60" s="13">
        <v>300</v>
      </c>
      <c r="E60" s="5">
        <v>70.5</v>
      </c>
      <c r="F60" s="5">
        <f>($D60*$E60)*0.002</f>
        <v>42.300000000000004</v>
      </c>
      <c r="G60" s="5">
        <f>$F60*0.07</f>
        <v>2.9610000000000007</v>
      </c>
      <c r="H60" s="5">
        <f>IF($C60="BUY",(($D60*$E60)+$F60+$G60)*(-1),IF($C60="SELL",($D60*$E60)-$F60-$G60))</f>
        <v>21104.739</v>
      </c>
    </row>
    <row r="61" spans="1:9" ht="19.5" thickBot="1">
      <c r="A61" s="14"/>
      <c r="B61" s="14"/>
      <c r="C61" s="14"/>
      <c r="D61" s="15"/>
      <c r="E61" s="16"/>
      <c r="F61" s="16"/>
      <c r="G61" s="63" t="s">
        <v>14</v>
      </c>
      <c r="H61" s="63">
        <f>SUM(H59:H60)</f>
        <v>-2645.9789999999994</v>
      </c>
      <c r="I61" s="7"/>
    </row>
    <row r="62" spans="1:8" ht="18.75">
      <c r="A62" s="12" t="s">
        <v>117</v>
      </c>
      <c r="B62" s="12" t="s">
        <v>118</v>
      </c>
      <c r="C62" s="12" t="s">
        <v>16</v>
      </c>
      <c r="D62" s="13">
        <v>5000</v>
      </c>
      <c r="E62" s="5">
        <v>4.24</v>
      </c>
      <c r="F62" s="5">
        <f>($D62*$E62)*0.002</f>
        <v>42.4</v>
      </c>
      <c r="G62" s="5">
        <f>$F62*0.07</f>
        <v>2.968</v>
      </c>
      <c r="H62" s="5">
        <f>IF($C62="BUY",(($D62*$E62)+$F62+$G62)*(-1),IF($C62="SELL",($D62*$E62)-$F62-$G62))</f>
        <v>-21245.368000000002</v>
      </c>
    </row>
    <row r="63" spans="2:8" ht="18.75">
      <c r="B63" s="12" t="s">
        <v>118</v>
      </c>
      <c r="C63" s="12" t="s">
        <v>37</v>
      </c>
      <c r="D63" s="13">
        <v>4500</v>
      </c>
      <c r="E63" s="5">
        <v>4.32</v>
      </c>
      <c r="F63" s="5">
        <f>($D63*$E63)*0.002</f>
        <v>38.88</v>
      </c>
      <c r="G63" s="5">
        <f>$F63*0.07</f>
        <v>2.7216000000000005</v>
      </c>
      <c r="H63" s="5">
        <f>IF($C63="BUY",(($D63*$E63)+$F63+$G63)*(-1),IF($C63="SELL",($D63*$E63)-$F63-$G63))</f>
        <v>19398.3984</v>
      </c>
    </row>
    <row r="64" spans="2:8" ht="18.75">
      <c r="B64" s="12" t="s">
        <v>118</v>
      </c>
      <c r="C64" s="12" t="s">
        <v>16</v>
      </c>
      <c r="D64" s="13">
        <v>5000</v>
      </c>
      <c r="E64" s="5">
        <v>4.2</v>
      </c>
      <c r="F64" s="5">
        <f>($D64*$E64)*0.002</f>
        <v>42</v>
      </c>
      <c r="G64" s="5">
        <f>$F64*0.07</f>
        <v>2.9400000000000004</v>
      </c>
      <c r="H64" s="5">
        <f>IF($C64="BUY",(($D64*$E64)+$F64+$G64)*(-1),IF($C64="SELL",($D64*$E64)-$F64-$G64))</f>
        <v>-21044.94</v>
      </c>
    </row>
    <row r="65" spans="2:8" ht="18.75">
      <c r="B65" s="12" t="s">
        <v>118</v>
      </c>
      <c r="C65" s="12" t="s">
        <v>16</v>
      </c>
      <c r="D65" s="13">
        <v>5000</v>
      </c>
      <c r="E65" s="5">
        <v>4.18</v>
      </c>
      <c r="F65" s="5">
        <f>($D65*$E65)*0.002</f>
        <v>41.800000000000004</v>
      </c>
      <c r="G65" s="5">
        <f>$F65*0.07</f>
        <v>2.9260000000000006</v>
      </c>
      <c r="H65" s="5">
        <f>IF($C65="BUY",(($D65*$E65)+$F65+$G65)*(-1),IF($C65="SELL",($D65*$E65)-$F65-$G65))</f>
        <v>-20944.726</v>
      </c>
    </row>
    <row r="66" spans="2:8" ht="18.75">
      <c r="B66" s="12" t="s">
        <v>119</v>
      </c>
      <c r="C66" s="12" t="s">
        <v>16</v>
      </c>
      <c r="D66" s="13">
        <v>300</v>
      </c>
      <c r="E66" s="5">
        <v>108</v>
      </c>
      <c r="F66" s="5">
        <f>($D66*$E66)*0.002</f>
        <v>64.8</v>
      </c>
      <c r="G66" s="5">
        <f>$F66*0.07</f>
        <v>4.5360000000000005</v>
      </c>
      <c r="H66" s="5">
        <f>IF($C66="BUY",(($D66*$E66)+$F66+$G66)*(-1),IF($C66="SELL",($D66*$E66)-$F66-$G66))</f>
        <v>-32469.336</v>
      </c>
    </row>
    <row r="67" spans="1:8" ht="19.5" thickBot="1">
      <c r="A67" s="14"/>
      <c r="B67" s="14"/>
      <c r="C67" s="14"/>
      <c r="D67" s="15"/>
      <c r="E67" s="16"/>
      <c r="F67" s="16"/>
      <c r="G67" s="50" t="s">
        <v>14</v>
      </c>
      <c r="H67" s="50">
        <f>SUM(H62:H66)</f>
        <v>-76305.9716</v>
      </c>
    </row>
    <row r="68" spans="1:10" ht="18.75">
      <c r="A68" s="12" t="s">
        <v>122</v>
      </c>
      <c r="B68" s="12" t="s">
        <v>119</v>
      </c>
      <c r="C68" s="12" t="s">
        <v>37</v>
      </c>
      <c r="D68" s="13">
        <v>300</v>
      </c>
      <c r="E68" s="5">
        <v>113</v>
      </c>
      <c r="F68" s="5">
        <f>($D68*$E68)*0.002</f>
        <v>67.8</v>
      </c>
      <c r="G68" s="5">
        <f>$F68*0.07</f>
        <v>4.746</v>
      </c>
      <c r="H68" s="5">
        <f>IF($C68="BUY",(($D68*$E68)+$F68+$G68)*(-1),IF($C68="SELL",($D68*$E68)-$F68-$G68))</f>
        <v>33827.454</v>
      </c>
      <c r="J68" s="7"/>
    </row>
    <row r="69" spans="2:8" ht="18.75">
      <c r="B69" s="12" t="s">
        <v>119</v>
      </c>
      <c r="C69" s="12" t="s">
        <v>16</v>
      </c>
      <c r="D69" s="13">
        <v>300</v>
      </c>
      <c r="E69" s="5">
        <v>110</v>
      </c>
      <c r="F69" s="5">
        <f>($D69*$E69)*0.002</f>
        <v>66</v>
      </c>
      <c r="G69" s="5">
        <f>$F69*0.07</f>
        <v>4.62</v>
      </c>
      <c r="H69" s="5">
        <f>IF($C69="BUY",(($D69*$E69)+$F69+$G69)*(-1),IF($C69="SELL",($D69*$E69)-$F69-$G69))</f>
        <v>-33070.62</v>
      </c>
    </row>
    <row r="70" spans="1:8" ht="19.5" thickBot="1">
      <c r="A70" s="14"/>
      <c r="B70" s="14"/>
      <c r="C70" s="14"/>
      <c r="D70" s="15"/>
      <c r="E70" s="16"/>
      <c r="F70" s="16"/>
      <c r="G70" s="55" t="s">
        <v>38</v>
      </c>
      <c r="H70" s="55">
        <f>SUM(H68:H69)</f>
        <v>756.8339999999953</v>
      </c>
    </row>
    <row r="71" spans="1:10" ht="18.75">
      <c r="A71" s="12" t="s">
        <v>125</v>
      </c>
      <c r="B71" s="12" t="s">
        <v>119</v>
      </c>
      <c r="C71" s="12" t="s">
        <v>37</v>
      </c>
      <c r="D71" s="13">
        <v>300</v>
      </c>
      <c r="E71" s="5">
        <v>112</v>
      </c>
      <c r="F71" s="5">
        <f>($D71*$E71)*0.002</f>
        <v>67.2</v>
      </c>
      <c r="G71" s="5">
        <f>$F71*0.07</f>
        <v>4.704000000000001</v>
      </c>
      <c r="H71" s="5">
        <f>IF($C71="BUY",(($D71*$E71)+$F71+$G71)*(-1),IF($C71="SELL",($D71*$E71)-$F71-$G71))</f>
        <v>33528.096000000005</v>
      </c>
      <c r="J71" s="7"/>
    </row>
    <row r="72" spans="2:8" ht="18.75">
      <c r="B72" s="12" t="s">
        <v>105</v>
      </c>
      <c r="C72" s="12" t="s">
        <v>37</v>
      </c>
      <c r="D72" s="13">
        <v>2000</v>
      </c>
      <c r="E72" s="5">
        <v>7.95</v>
      </c>
      <c r="F72" s="5">
        <f>($D72*$E72)*0.002</f>
        <v>31.8</v>
      </c>
      <c r="G72" s="5">
        <f>$F72*0.07</f>
        <v>2.2260000000000004</v>
      </c>
      <c r="H72" s="5">
        <f>IF($C72="BUY",(($D72*$E72)+$F72+$G72)*(-1),IF($C72="SELL",($D72*$E72)-$F72-$G72))</f>
        <v>15865.974</v>
      </c>
    </row>
    <row r="73" spans="2:8" ht="18.75">
      <c r="B73" s="12" t="s">
        <v>118</v>
      </c>
      <c r="C73" s="12" t="s">
        <v>37</v>
      </c>
      <c r="D73" s="13">
        <v>5500</v>
      </c>
      <c r="E73" s="5">
        <v>4.48</v>
      </c>
      <c r="F73" s="5">
        <f>($D73*$E73)*0.002</f>
        <v>49.28000000000001</v>
      </c>
      <c r="G73" s="5">
        <f>$F73*0.07</f>
        <v>3.449600000000001</v>
      </c>
      <c r="H73" s="5">
        <f>IF($C73="BUY",(($D73*$E73)+$F73+$G73)*(-1),IF($C73="SELL",($D73*$E73)-$F73-$G73))</f>
        <v>24587.270400000005</v>
      </c>
    </row>
    <row r="74" spans="1:8" ht="19.5" thickBot="1">
      <c r="A74" s="14"/>
      <c r="B74" s="14"/>
      <c r="C74" s="14"/>
      <c r="D74" s="15"/>
      <c r="E74" s="16"/>
      <c r="F74" s="16"/>
      <c r="G74" s="55" t="s">
        <v>38</v>
      </c>
      <c r="H74" s="55">
        <f>SUM(H71:H73)</f>
        <v>73981.34040000002</v>
      </c>
    </row>
    <row r="75" spans="1:8" ht="18.75">
      <c r="A75" s="12" t="s">
        <v>128</v>
      </c>
      <c r="B75" s="12" t="s">
        <v>118</v>
      </c>
      <c r="C75" s="12" t="s">
        <v>37</v>
      </c>
      <c r="D75" s="13">
        <v>2000</v>
      </c>
      <c r="E75" s="5">
        <v>5</v>
      </c>
      <c r="F75" s="5">
        <f>($D75*$E75)*0.002</f>
        <v>20</v>
      </c>
      <c r="G75" s="5">
        <f>$F75*0.07</f>
        <v>1.4000000000000001</v>
      </c>
      <c r="H75" s="5">
        <f>IF($C75="BUY",(($D75*$E75)+$F75+$G75)*(-1),IF($C75="SELL",($D75*$E75)-$F75-$G75))</f>
        <v>9978.6</v>
      </c>
    </row>
    <row r="76" spans="2:8" ht="18.75">
      <c r="B76" s="12" t="s">
        <v>118</v>
      </c>
      <c r="C76" s="12" t="s">
        <v>37</v>
      </c>
      <c r="D76" s="13">
        <v>3000</v>
      </c>
      <c r="E76" s="5">
        <v>4.96</v>
      </c>
      <c r="F76" s="5">
        <f>($D76*$E76)*0.002</f>
        <v>29.76</v>
      </c>
      <c r="G76" s="5">
        <f>$F76*0.07</f>
        <v>2.0832</v>
      </c>
      <c r="H76" s="5">
        <f>IF($C76="BUY",(($D76*$E76)+$F76+$G76)*(-1),IF($C76="SELL",($D76*$E76)-$F76-$G76))</f>
        <v>14848.1568</v>
      </c>
    </row>
    <row r="77" spans="1:8" ht="19.5" thickBot="1">
      <c r="A77" s="14"/>
      <c r="B77" s="14"/>
      <c r="C77" s="14"/>
      <c r="D77" s="15"/>
      <c r="E77" s="16"/>
      <c r="F77" s="16"/>
      <c r="G77" s="55" t="s">
        <v>38</v>
      </c>
      <c r="H77" s="55">
        <f>SUM(H75:H76)</f>
        <v>24826.756800000003</v>
      </c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H20" sqref="H20"/>
    </sheetView>
  </sheetViews>
  <sheetFormatPr defaultColWidth="9.140625" defaultRowHeight="21.75"/>
  <cols>
    <col min="1" max="1" width="10.7109375" style="0" customWidth="1"/>
    <col min="2" max="2" width="10.28125" style="0" customWidth="1"/>
    <col min="3" max="3" width="10.00390625" style="0" customWidth="1"/>
    <col min="4" max="4" width="11.140625" style="0" customWidth="1"/>
    <col min="5" max="5" width="12.57421875" style="0" customWidth="1"/>
    <col min="6" max="6" width="10.57421875" style="0" customWidth="1"/>
    <col min="7" max="7" width="13.00390625" style="0" customWidth="1"/>
  </cols>
  <sheetData>
    <row r="1" spans="1:7" s="8" customFormat="1" ht="21">
      <c r="A1" s="72" t="s">
        <v>98</v>
      </c>
      <c r="B1" s="72"/>
      <c r="C1" s="72"/>
      <c r="D1" s="72"/>
      <c r="E1" s="72"/>
      <c r="F1" s="72"/>
      <c r="G1" s="72"/>
    </row>
    <row r="2" spans="1:7" s="1" customFormat="1" ht="18.75">
      <c r="A2" s="34" t="s">
        <v>2</v>
      </c>
      <c r="B2" s="34" t="s">
        <v>4</v>
      </c>
      <c r="C2" s="34" t="s">
        <v>9</v>
      </c>
      <c r="D2" s="34" t="s">
        <v>10</v>
      </c>
      <c r="E2" s="34" t="s">
        <v>11</v>
      </c>
      <c r="F2" s="34" t="s">
        <v>12</v>
      </c>
      <c r="G2" s="34" t="s">
        <v>27</v>
      </c>
    </row>
    <row r="3" spans="1:7" s="1" customFormat="1" ht="18.75">
      <c r="A3" s="20" t="s">
        <v>32</v>
      </c>
      <c r="B3" s="21">
        <v>1300</v>
      </c>
      <c r="C3" s="19">
        <f>-((-36.67*500)+(TRANSACTION!$H$36)+(TRANSACTION!$H$39)+(TRANSACTION!$H$42))/1800</f>
        <v>38.28778694444444</v>
      </c>
      <c r="D3" s="19">
        <v>37.75</v>
      </c>
      <c r="E3" s="19">
        <f>$B3*$D3</f>
        <v>49075</v>
      </c>
      <c r="F3" s="26">
        <f>$E3/$E$17</f>
        <v>0.3478192644634298</v>
      </c>
      <c r="G3" s="19">
        <f>$E3-($B3*$C3)</f>
        <v>-699.1230277777722</v>
      </c>
    </row>
    <row r="4" spans="1:7" s="1" customFormat="1" ht="18.75">
      <c r="A4" s="20" t="s">
        <v>30</v>
      </c>
      <c r="B4" s="21">
        <v>1000</v>
      </c>
      <c r="C4" s="19">
        <v>27.59</v>
      </c>
      <c r="D4" s="19">
        <v>23</v>
      </c>
      <c r="E4" s="19">
        <f>$B4*$D4</f>
        <v>23000</v>
      </c>
      <c r="F4" s="26">
        <f>$E4/$E$17</f>
        <v>0.16301259465428192</v>
      </c>
      <c r="G4" s="19">
        <f>$E4-($B4*$C4)</f>
        <v>-4590</v>
      </c>
    </row>
    <row r="5" spans="1:7" s="1" customFormat="1" ht="18.75">
      <c r="A5" s="20"/>
      <c r="B5" s="21"/>
      <c r="C5" s="19"/>
      <c r="D5" s="19"/>
      <c r="E5" s="19"/>
      <c r="F5" s="26"/>
      <c r="G5" s="19"/>
    </row>
    <row r="6" spans="1:9" s="1" customFormat="1" ht="18.75">
      <c r="A6" s="33"/>
      <c r="B6" s="33"/>
      <c r="C6" s="61"/>
      <c r="D6" s="33"/>
      <c r="E6" s="33"/>
      <c r="F6" s="33"/>
      <c r="G6" s="33"/>
      <c r="I6" s="7"/>
    </row>
    <row r="7" spans="1:7" s="1" customFormat="1" ht="18.75">
      <c r="A7" s="20"/>
      <c r="B7" s="21"/>
      <c r="C7" s="19"/>
      <c r="D7" s="19"/>
      <c r="E7" s="19"/>
      <c r="F7" s="26"/>
      <c r="G7" s="19"/>
    </row>
    <row r="8" spans="1:7" s="1" customFormat="1" ht="18.75">
      <c r="A8" s="33"/>
      <c r="B8" s="33"/>
      <c r="C8" s="33"/>
      <c r="D8" s="33"/>
      <c r="E8" s="33"/>
      <c r="F8" s="33"/>
      <c r="G8" s="33"/>
    </row>
    <row r="9" spans="1:7" s="1" customFormat="1" ht="20.25">
      <c r="A9" s="20"/>
      <c r="B9" s="21"/>
      <c r="C9" s="19"/>
      <c r="D9" s="19"/>
      <c r="E9" s="27"/>
      <c r="F9" s="26"/>
      <c r="G9" s="27"/>
    </row>
    <row r="10" spans="1:7" s="1" customFormat="1" ht="20.25">
      <c r="A10" s="73" t="s">
        <v>35</v>
      </c>
      <c r="B10" s="73"/>
      <c r="C10" s="35"/>
      <c r="D10" s="35"/>
      <c r="E10" s="36">
        <f>SUM($E3:$E9)</f>
        <v>72075</v>
      </c>
      <c r="F10" s="37">
        <f>SUM($F3:$F9)</f>
        <v>0.5108318591177117</v>
      </c>
      <c r="G10" s="27">
        <f>SUM($G3:$G9)</f>
        <v>-5289.123027777772</v>
      </c>
    </row>
    <row r="11" spans="2:7" s="1" customFormat="1" ht="18.75">
      <c r="B11" s="3"/>
      <c r="C11" s="2"/>
      <c r="D11" s="2"/>
      <c r="E11" s="2"/>
      <c r="F11" s="2"/>
      <c r="G11" s="2"/>
    </row>
    <row r="12" spans="1:7" s="1" customFormat="1" ht="18.75">
      <c r="A12" s="69" t="s">
        <v>17</v>
      </c>
      <c r="B12" s="69"/>
      <c r="C12" s="19"/>
      <c r="D12" s="19"/>
      <c r="E12" s="19">
        <v>69018.39249999999</v>
      </c>
      <c r="F12" s="2"/>
      <c r="G12" s="2"/>
    </row>
    <row r="13" spans="1:7" s="1" customFormat="1" ht="18.75">
      <c r="A13" s="69" t="s">
        <v>14</v>
      </c>
      <c r="B13" s="69"/>
      <c r="C13" s="19"/>
      <c r="D13" s="19"/>
      <c r="E13" s="19">
        <v>0</v>
      </c>
      <c r="F13" s="2"/>
      <c r="G13" s="2"/>
    </row>
    <row r="14" spans="1:7" s="1" customFormat="1" ht="18.75">
      <c r="A14" s="69" t="s">
        <v>78</v>
      </c>
      <c r="B14" s="69"/>
      <c r="C14" s="19"/>
      <c r="D14" s="19"/>
      <c r="E14" s="19">
        <v>0</v>
      </c>
      <c r="F14" s="2"/>
      <c r="G14" s="2"/>
    </row>
    <row r="15" spans="1:6" s="1" customFormat="1" ht="20.25">
      <c r="A15" s="70" t="s">
        <v>19</v>
      </c>
      <c r="B15" s="70"/>
      <c r="C15" s="38"/>
      <c r="D15" s="38"/>
      <c r="E15" s="36">
        <f>SUM($E12:$E14)</f>
        <v>69018.39249999999</v>
      </c>
      <c r="F15" s="37">
        <f>$E15/$E$17</f>
        <v>0.48916814088228827</v>
      </c>
    </row>
    <row r="16" spans="1:5" s="1" customFormat="1" ht="18.75">
      <c r="A16" s="18"/>
      <c r="B16" s="18"/>
      <c r="E16" s="2"/>
    </row>
    <row r="17" spans="1:6" s="1" customFormat="1" ht="20.25">
      <c r="A17" s="70" t="s">
        <v>20</v>
      </c>
      <c r="B17" s="70"/>
      <c r="C17" s="38"/>
      <c r="D17" s="38"/>
      <c r="E17" s="36">
        <f>SUM($E10,$E15)</f>
        <v>141093.3925</v>
      </c>
      <c r="F17" s="37">
        <f>SUM($F10,$F15)</f>
        <v>1</v>
      </c>
    </row>
    <row r="18" spans="1:5" s="1" customFormat="1" ht="18.75">
      <c r="A18" s="71" t="s">
        <v>33</v>
      </c>
      <c r="B18" s="71"/>
      <c r="C18" s="20"/>
      <c r="D18" s="20"/>
      <c r="E18" s="21">
        <v>13963</v>
      </c>
    </row>
    <row r="19" spans="1:8" s="1" customFormat="1" ht="21.75">
      <c r="A19" s="68" t="s">
        <v>34</v>
      </c>
      <c r="B19" s="68"/>
      <c r="C19" s="38"/>
      <c r="D19" s="38"/>
      <c r="E19" s="39">
        <f>E$17/E$18</f>
        <v>10.104805020411085</v>
      </c>
      <c r="F19" s="4"/>
      <c r="G19" s="6"/>
      <c r="H19" s="62"/>
    </row>
  </sheetData>
  <mergeCells count="9">
    <mergeCell ref="A19:B19"/>
    <mergeCell ref="A14:B14"/>
    <mergeCell ref="A15:B15"/>
    <mergeCell ref="A17:B17"/>
    <mergeCell ref="A18:B18"/>
    <mergeCell ref="A1:G1"/>
    <mergeCell ref="A10:B10"/>
    <mergeCell ref="A12:B12"/>
    <mergeCell ref="A13:B1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15" sqref="E15"/>
    </sheetView>
  </sheetViews>
  <sheetFormatPr defaultColWidth="9.140625" defaultRowHeight="21.75"/>
  <cols>
    <col min="1" max="1" width="10.7109375" style="0" customWidth="1"/>
    <col min="2" max="2" width="10.28125" style="0" customWidth="1"/>
    <col min="3" max="3" width="10.00390625" style="0" customWidth="1"/>
    <col min="4" max="4" width="11.140625" style="0" customWidth="1"/>
    <col min="5" max="5" width="12.57421875" style="0" customWidth="1"/>
    <col min="6" max="6" width="10.57421875" style="0" customWidth="1"/>
    <col min="7" max="7" width="13.00390625" style="0" customWidth="1"/>
  </cols>
  <sheetData>
    <row r="1" spans="1:7" s="8" customFormat="1" ht="21">
      <c r="A1" s="72" t="s">
        <v>101</v>
      </c>
      <c r="B1" s="72"/>
      <c r="C1" s="72"/>
      <c r="D1" s="72"/>
      <c r="E1" s="72"/>
      <c r="F1" s="72"/>
      <c r="G1" s="72"/>
    </row>
    <row r="2" spans="1:7" s="1" customFormat="1" ht="18.75">
      <c r="A2" s="34" t="s">
        <v>2</v>
      </c>
      <c r="B2" s="34" t="s">
        <v>4</v>
      </c>
      <c r="C2" s="34" t="s">
        <v>9</v>
      </c>
      <c r="D2" s="34" t="s">
        <v>10</v>
      </c>
      <c r="E2" s="34" t="s">
        <v>11</v>
      </c>
      <c r="F2" s="34" t="s">
        <v>12</v>
      </c>
      <c r="G2" s="34" t="s">
        <v>27</v>
      </c>
    </row>
    <row r="3" spans="1:7" s="1" customFormat="1" ht="18.75">
      <c r="A3" s="20" t="s">
        <v>103</v>
      </c>
      <c r="B3" s="21">
        <v>1100</v>
      </c>
      <c r="C3" s="19">
        <f>-SUM(TRANSACTION!H47:H49)/1100</f>
        <v>23.504738181818183</v>
      </c>
      <c r="D3" s="19">
        <v>23.2</v>
      </c>
      <c r="E3" s="19">
        <f>$B3*$D3</f>
        <v>25520</v>
      </c>
      <c r="F3" s="26">
        <f>$E3/$E$17</f>
        <v>0.1802858210574284</v>
      </c>
      <c r="G3" s="19">
        <f>$E3-($B3*$C3)</f>
        <v>-335.2120000000032</v>
      </c>
    </row>
    <row r="4" spans="1:7" s="1" customFormat="1" ht="18.75">
      <c r="A4" s="20" t="s">
        <v>32</v>
      </c>
      <c r="B4" s="21">
        <v>1300</v>
      </c>
      <c r="C4" s="19">
        <f>-((-36.67*500)+(TRANSACTION!$H$36)+(TRANSACTION!$H$39)+(TRANSACTION!$H$42))/1800</f>
        <v>38.28778694444444</v>
      </c>
      <c r="D4" s="19">
        <v>38</v>
      </c>
      <c r="E4" s="19">
        <f>$B4*$D4</f>
        <v>49400</v>
      </c>
      <c r="F4" s="26">
        <f>$E4/$E$17</f>
        <v>0.348985876184834</v>
      </c>
      <c r="G4" s="19">
        <f>$E4-($B4*$C4)</f>
        <v>-374.1230277777722</v>
      </c>
    </row>
    <row r="5" spans="1:7" s="1" customFormat="1" ht="18.75">
      <c r="A5" s="20" t="s">
        <v>30</v>
      </c>
      <c r="B5" s="21">
        <v>400</v>
      </c>
      <c r="C5" s="19">
        <v>27.59</v>
      </c>
      <c r="D5" s="19">
        <v>23.5</v>
      </c>
      <c r="E5" s="19">
        <f>$B5*$D5</f>
        <v>9400</v>
      </c>
      <c r="F5" s="26">
        <f>$E5/$E$17</f>
        <v>0.0664062193550089</v>
      </c>
      <c r="G5" s="19">
        <f>$E5-($B5*$C5)</f>
        <v>-1636</v>
      </c>
    </row>
    <row r="6" spans="1:9" s="1" customFormat="1" ht="18.75">
      <c r="A6" s="33"/>
      <c r="B6" s="33"/>
      <c r="C6" s="61"/>
      <c r="D6" s="33"/>
      <c r="E6" s="33"/>
      <c r="F6" s="33"/>
      <c r="G6" s="33"/>
      <c r="I6" s="7"/>
    </row>
    <row r="7" spans="1:7" s="1" customFormat="1" ht="18.75">
      <c r="A7" s="20"/>
      <c r="B7" s="21"/>
      <c r="C7" s="19"/>
      <c r="D7" s="19"/>
      <c r="E7" s="19"/>
      <c r="F7" s="26"/>
      <c r="G7" s="19"/>
    </row>
    <row r="8" spans="1:7" s="1" customFormat="1" ht="18.75">
      <c r="A8" s="33"/>
      <c r="B8" s="33"/>
      <c r="C8" s="33"/>
      <c r="D8" s="33"/>
      <c r="E8" s="33"/>
      <c r="F8" s="33"/>
      <c r="G8" s="33"/>
    </row>
    <row r="9" spans="1:7" s="1" customFormat="1" ht="20.25">
      <c r="A9" s="20"/>
      <c r="B9" s="21"/>
      <c r="C9" s="19"/>
      <c r="D9" s="19"/>
      <c r="E9" s="27"/>
      <c r="F9" s="26"/>
      <c r="G9" s="27"/>
    </row>
    <row r="10" spans="1:7" s="1" customFormat="1" ht="20.25">
      <c r="A10" s="73" t="s">
        <v>35</v>
      </c>
      <c r="B10" s="73"/>
      <c r="C10" s="35"/>
      <c r="D10" s="35"/>
      <c r="E10" s="36">
        <f>SUM($E3:$E9)</f>
        <v>84320</v>
      </c>
      <c r="F10" s="37">
        <f>SUM($F3:$F9)</f>
        <v>0.5956779165972713</v>
      </c>
      <c r="G10" s="27">
        <f>SUM($G3:$G9)</f>
        <v>-2345.3350277777754</v>
      </c>
    </row>
    <row r="11" spans="2:7" s="1" customFormat="1" ht="18.75">
      <c r="B11" s="3"/>
      <c r="C11" s="2"/>
      <c r="D11" s="2"/>
      <c r="E11" s="2"/>
      <c r="F11" s="2"/>
      <c r="G11" s="2"/>
    </row>
    <row r="12" spans="1:7" s="1" customFormat="1" ht="18.75">
      <c r="A12" s="69" t="s">
        <v>17</v>
      </c>
      <c r="B12" s="69"/>
      <c r="C12" s="19"/>
      <c r="D12" s="19"/>
      <c r="E12" s="19">
        <v>69018.39249999999</v>
      </c>
      <c r="F12" s="2"/>
      <c r="G12" s="2"/>
    </row>
    <row r="13" spans="1:7" s="1" customFormat="1" ht="18.75">
      <c r="A13" s="69" t="s">
        <v>14</v>
      </c>
      <c r="B13" s="69"/>
      <c r="C13" s="19"/>
      <c r="D13" s="19"/>
      <c r="E13" s="19">
        <f>TRANSACTION!$H$50</f>
        <v>-11785.386000000002</v>
      </c>
      <c r="F13" s="2"/>
      <c r="G13" s="2"/>
    </row>
    <row r="14" spans="1:7" s="1" customFormat="1" ht="18.75">
      <c r="A14" s="69" t="s">
        <v>78</v>
      </c>
      <c r="B14" s="69"/>
      <c r="C14" s="19"/>
      <c r="D14" s="19"/>
      <c r="E14" s="19">
        <v>0</v>
      </c>
      <c r="F14" s="2"/>
      <c r="G14" s="2"/>
    </row>
    <row r="15" spans="1:6" s="1" customFormat="1" ht="20.25">
      <c r="A15" s="70" t="s">
        <v>19</v>
      </c>
      <c r="B15" s="70"/>
      <c r="C15" s="38"/>
      <c r="D15" s="38"/>
      <c r="E15" s="36">
        <f>SUM($E12:$E14)</f>
        <v>57233.00649999999</v>
      </c>
      <c r="F15" s="37">
        <f>$E15/$E$17</f>
        <v>0.4043220834027287</v>
      </c>
    </row>
    <row r="16" spans="1:5" s="1" customFormat="1" ht="18.75">
      <c r="A16" s="18"/>
      <c r="B16" s="18"/>
      <c r="E16" s="2"/>
    </row>
    <row r="17" spans="1:6" s="1" customFormat="1" ht="20.25">
      <c r="A17" s="70" t="s">
        <v>20</v>
      </c>
      <c r="B17" s="70"/>
      <c r="C17" s="38"/>
      <c r="D17" s="38"/>
      <c r="E17" s="36">
        <f>SUM($E10,$E15)</f>
        <v>141553.0065</v>
      </c>
      <c r="F17" s="37">
        <f>SUM($F10,$F15)</f>
        <v>1</v>
      </c>
    </row>
    <row r="18" spans="1:5" s="1" customFormat="1" ht="18.75">
      <c r="A18" s="71" t="s">
        <v>33</v>
      </c>
      <c r="B18" s="71"/>
      <c r="C18" s="20"/>
      <c r="D18" s="20"/>
      <c r="E18" s="21">
        <v>13963</v>
      </c>
    </row>
    <row r="19" spans="1:8" s="1" customFormat="1" ht="21.75">
      <c r="A19" s="68" t="s">
        <v>34</v>
      </c>
      <c r="B19" s="68"/>
      <c r="C19" s="38"/>
      <c r="D19" s="38"/>
      <c r="E19" s="39">
        <f>E$17/E$18</f>
        <v>10.137721585619136</v>
      </c>
      <c r="F19" s="4"/>
      <c r="G19" s="6"/>
      <c r="H19" s="62"/>
    </row>
  </sheetData>
  <mergeCells count="9">
    <mergeCell ref="A19:B19"/>
    <mergeCell ref="A14:B14"/>
    <mergeCell ref="A15:B15"/>
    <mergeCell ref="A17:B17"/>
    <mergeCell ref="A18:B18"/>
    <mergeCell ref="A1:G1"/>
    <mergeCell ref="A10:B10"/>
    <mergeCell ref="A12:B12"/>
    <mergeCell ref="A13:B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15" sqref="E15"/>
    </sheetView>
  </sheetViews>
  <sheetFormatPr defaultColWidth="9.140625" defaultRowHeight="21.75"/>
  <cols>
    <col min="1" max="1" width="10.7109375" style="0" customWidth="1"/>
    <col min="2" max="2" width="10.28125" style="0" customWidth="1"/>
    <col min="3" max="3" width="10.00390625" style="0" customWidth="1"/>
    <col min="4" max="4" width="11.140625" style="0" customWidth="1"/>
    <col min="5" max="5" width="12.57421875" style="0" customWidth="1"/>
    <col min="6" max="6" width="10.57421875" style="0" customWidth="1"/>
    <col min="7" max="7" width="13.00390625" style="0" customWidth="1"/>
  </cols>
  <sheetData>
    <row r="1" spans="1:7" s="8" customFormat="1" ht="21">
      <c r="A1" s="72" t="s">
        <v>107</v>
      </c>
      <c r="B1" s="72"/>
      <c r="C1" s="72"/>
      <c r="D1" s="72"/>
      <c r="E1" s="72"/>
      <c r="F1" s="72"/>
      <c r="G1" s="72"/>
    </row>
    <row r="2" spans="1:7" s="1" customFormat="1" ht="18.75">
      <c r="A2" s="34" t="s">
        <v>2</v>
      </c>
      <c r="B2" s="34" t="s">
        <v>4</v>
      </c>
      <c r="C2" s="34" t="s">
        <v>9</v>
      </c>
      <c r="D2" s="34" t="s">
        <v>10</v>
      </c>
      <c r="E2" s="34" t="s">
        <v>11</v>
      </c>
      <c r="F2" s="34" t="s">
        <v>12</v>
      </c>
      <c r="G2" s="34" t="s">
        <v>27</v>
      </c>
    </row>
    <row r="3" spans="1:7" s="1" customFormat="1" ht="18.75">
      <c r="A3" s="20" t="s">
        <v>32</v>
      </c>
      <c r="B3" s="21">
        <v>1300</v>
      </c>
      <c r="C3" s="19">
        <f>-((-36.67*500)+(TRANSACTION!$H$36)+(TRANSACTION!$H$39)+(TRANSACTION!$H$42))/1800</f>
        <v>38.28778694444444</v>
      </c>
      <c r="D3" s="19">
        <v>37.5</v>
      </c>
      <c r="E3" s="19">
        <f>$B3*$D3</f>
        <v>48750</v>
      </c>
      <c r="F3" s="26">
        <f>$E3/$E$17</f>
        <v>0.3438417443170826</v>
      </c>
      <c r="G3" s="19">
        <f>$E3-($B3*$C3)</f>
        <v>-1024.1230277777722</v>
      </c>
    </row>
    <row r="4" spans="1:7" s="1" customFormat="1" ht="18.75">
      <c r="A4" s="20" t="s">
        <v>105</v>
      </c>
      <c r="B4" s="21">
        <v>4000</v>
      </c>
      <c r="C4" s="19">
        <f>-TRANSACTION!$H$53/4000</f>
        <v>7.766585</v>
      </c>
      <c r="D4" s="19">
        <v>7.8</v>
      </c>
      <c r="E4" s="19">
        <f>$B4*$D4</f>
        <v>31200</v>
      </c>
      <c r="F4" s="26">
        <f>$E4/$E$17</f>
        <v>0.22005871636293287</v>
      </c>
      <c r="G4" s="19">
        <f>$E4-($B4*$C4)</f>
        <v>133.65999999999985</v>
      </c>
    </row>
    <row r="5" spans="1:7" s="1" customFormat="1" ht="18.75">
      <c r="A5" s="20" t="s">
        <v>30</v>
      </c>
      <c r="B5" s="21">
        <v>400</v>
      </c>
      <c r="C5" s="19">
        <v>27.59</v>
      </c>
      <c r="D5" s="19">
        <v>23.5</v>
      </c>
      <c r="E5" s="19">
        <f>$B5*$D5</f>
        <v>9400</v>
      </c>
      <c r="F5" s="26">
        <f>$E5/$E$17</f>
        <v>0.06629974146831952</v>
      </c>
      <c r="G5" s="19">
        <f>$E5-($B5*$C5)</f>
        <v>-1636</v>
      </c>
    </row>
    <row r="6" spans="1:9" s="1" customFormat="1" ht="18.75">
      <c r="A6" s="33"/>
      <c r="B6" s="33"/>
      <c r="C6" s="61"/>
      <c r="D6" s="33"/>
      <c r="E6" s="33"/>
      <c r="F6" s="33"/>
      <c r="G6" s="33"/>
      <c r="I6" s="7"/>
    </row>
    <row r="7" spans="1:7" s="1" customFormat="1" ht="18.75">
      <c r="A7" s="20"/>
      <c r="B7" s="21"/>
      <c r="C7" s="19"/>
      <c r="D7" s="19"/>
      <c r="E7" s="19"/>
      <c r="F7" s="26"/>
      <c r="G7" s="19"/>
    </row>
    <row r="8" spans="1:7" s="1" customFormat="1" ht="18.75">
      <c r="A8" s="33"/>
      <c r="B8" s="33"/>
      <c r="C8" s="33"/>
      <c r="D8" s="33"/>
      <c r="E8" s="33"/>
      <c r="F8" s="33"/>
      <c r="G8" s="33"/>
    </row>
    <row r="9" spans="1:7" s="1" customFormat="1" ht="20.25">
      <c r="A9" s="20"/>
      <c r="B9" s="21"/>
      <c r="C9" s="19"/>
      <c r="D9" s="19"/>
      <c r="E9" s="27"/>
      <c r="F9" s="26"/>
      <c r="G9" s="27"/>
    </row>
    <row r="10" spans="1:7" s="1" customFormat="1" ht="20.25">
      <c r="A10" s="73" t="s">
        <v>35</v>
      </c>
      <c r="B10" s="73"/>
      <c r="C10" s="35"/>
      <c r="D10" s="35"/>
      <c r="E10" s="36">
        <f>SUM($E3:$E9)</f>
        <v>89350</v>
      </c>
      <c r="F10" s="37">
        <f>SUM($F3:$F9)</f>
        <v>0.6302002021483349</v>
      </c>
      <c r="G10" s="27">
        <f>SUM($G3:$G9)</f>
        <v>-2526.4630277777724</v>
      </c>
    </row>
    <row r="11" spans="2:7" s="1" customFormat="1" ht="18.75">
      <c r="B11" s="3"/>
      <c r="C11" s="2"/>
      <c r="D11" s="2"/>
      <c r="E11" s="2"/>
      <c r="F11" s="2"/>
      <c r="G11" s="2"/>
    </row>
    <row r="12" spans="1:7" s="1" customFormat="1" ht="18.75">
      <c r="A12" s="69" t="s">
        <v>17</v>
      </c>
      <c r="B12" s="69"/>
      <c r="C12" s="19"/>
      <c r="D12" s="19"/>
      <c r="E12" s="19">
        <v>57233.00649999999</v>
      </c>
      <c r="F12" s="2"/>
      <c r="G12" s="2"/>
    </row>
    <row r="13" spans="1:7" s="1" customFormat="1" ht="18.75">
      <c r="A13" s="69" t="s">
        <v>14</v>
      </c>
      <c r="B13" s="69"/>
      <c r="C13" s="19"/>
      <c r="D13" s="19"/>
      <c r="E13" s="19">
        <f>TRANSACTION!$H$54</f>
        <v>-4802.664800000002</v>
      </c>
      <c r="F13" s="2"/>
      <c r="G13" s="2"/>
    </row>
    <row r="14" spans="1:7" s="1" customFormat="1" ht="18.75">
      <c r="A14" s="69" t="s">
        <v>78</v>
      </c>
      <c r="B14" s="69"/>
      <c r="C14" s="19"/>
      <c r="D14" s="19"/>
      <c r="E14" s="19">
        <v>0</v>
      </c>
      <c r="F14" s="2"/>
      <c r="G14" s="2"/>
    </row>
    <row r="15" spans="1:6" s="1" customFormat="1" ht="20.25">
      <c r="A15" s="70" t="s">
        <v>19</v>
      </c>
      <c r="B15" s="70"/>
      <c r="C15" s="38"/>
      <c r="D15" s="38"/>
      <c r="E15" s="36">
        <f>SUM($E12:$E14)</f>
        <v>52430.34169999999</v>
      </c>
      <c r="F15" s="37">
        <f>$E15/$E$17</f>
        <v>0.369799797851665</v>
      </c>
    </row>
    <row r="16" spans="1:5" s="1" customFormat="1" ht="18.75">
      <c r="A16" s="18"/>
      <c r="B16" s="18"/>
      <c r="E16" s="2"/>
    </row>
    <row r="17" spans="1:6" s="1" customFormat="1" ht="20.25">
      <c r="A17" s="70" t="s">
        <v>20</v>
      </c>
      <c r="B17" s="70"/>
      <c r="C17" s="38"/>
      <c r="D17" s="38"/>
      <c r="E17" s="36">
        <f>SUM($E10,$E15)</f>
        <v>141780.3417</v>
      </c>
      <c r="F17" s="37">
        <f>SUM($F10,$F15)</f>
        <v>1</v>
      </c>
    </row>
    <row r="18" spans="1:5" s="1" customFormat="1" ht="18.75">
      <c r="A18" s="71" t="s">
        <v>33</v>
      </c>
      <c r="B18" s="71"/>
      <c r="C18" s="20"/>
      <c r="D18" s="20"/>
      <c r="E18" s="21">
        <v>13963</v>
      </c>
    </row>
    <row r="19" spans="1:8" s="1" customFormat="1" ht="21.75">
      <c r="A19" s="68" t="s">
        <v>34</v>
      </c>
      <c r="B19" s="68"/>
      <c r="C19" s="38"/>
      <c r="D19" s="38"/>
      <c r="E19" s="39">
        <f>E$17/E$18</f>
        <v>10.154002843228533</v>
      </c>
      <c r="F19" s="4"/>
      <c r="G19" s="6"/>
      <c r="H19" s="62"/>
    </row>
  </sheetData>
  <mergeCells count="9">
    <mergeCell ref="A1:G1"/>
    <mergeCell ref="A10:B10"/>
    <mergeCell ref="A12:B12"/>
    <mergeCell ref="A13:B13"/>
    <mergeCell ref="A19:B19"/>
    <mergeCell ref="A14:B14"/>
    <mergeCell ref="A15:B15"/>
    <mergeCell ref="A17:B17"/>
    <mergeCell ref="A18:B1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15" sqref="E15"/>
    </sheetView>
  </sheetViews>
  <sheetFormatPr defaultColWidth="9.140625" defaultRowHeight="21.75"/>
  <cols>
    <col min="1" max="1" width="10.7109375" style="0" customWidth="1"/>
    <col min="2" max="2" width="10.28125" style="0" customWidth="1"/>
    <col min="3" max="3" width="10.00390625" style="0" customWidth="1"/>
    <col min="4" max="4" width="11.140625" style="0" customWidth="1"/>
    <col min="5" max="5" width="12.57421875" style="0" customWidth="1"/>
    <col min="6" max="6" width="10.57421875" style="0" customWidth="1"/>
    <col min="7" max="7" width="13.00390625" style="0" customWidth="1"/>
  </cols>
  <sheetData>
    <row r="1" spans="1:7" s="8" customFormat="1" ht="21">
      <c r="A1" s="72" t="s">
        <v>109</v>
      </c>
      <c r="B1" s="72"/>
      <c r="C1" s="72"/>
      <c r="D1" s="72"/>
      <c r="E1" s="72"/>
      <c r="F1" s="72"/>
      <c r="G1" s="72"/>
    </row>
    <row r="2" spans="1:7" s="1" customFormat="1" ht="18.75">
      <c r="A2" s="34" t="s">
        <v>2</v>
      </c>
      <c r="B2" s="34" t="s">
        <v>4</v>
      </c>
      <c r="C2" s="34" t="s">
        <v>9</v>
      </c>
      <c r="D2" s="34" t="s">
        <v>10</v>
      </c>
      <c r="E2" s="34" t="s">
        <v>11</v>
      </c>
      <c r="F2" s="34" t="s">
        <v>12</v>
      </c>
      <c r="G2" s="34" t="s">
        <v>27</v>
      </c>
    </row>
    <row r="3" spans="1:7" s="1" customFormat="1" ht="18.75">
      <c r="A3" s="20" t="s">
        <v>32</v>
      </c>
      <c r="B3" s="21">
        <v>300</v>
      </c>
      <c r="C3" s="19">
        <f>-((-36.67*500)+(TRANSACTION!$H$36)+(TRANSACTION!$H$39)+(TRANSACTION!$H$42))/1800</f>
        <v>38.28778694444444</v>
      </c>
      <c r="D3" s="19">
        <v>37.5</v>
      </c>
      <c r="E3" s="19">
        <f>$B3*$D3</f>
        <v>11250</v>
      </c>
      <c r="F3" s="26">
        <f>$E3/$E$17</f>
        <v>0.07930877897207063</v>
      </c>
      <c r="G3" s="19">
        <f>$E3-($B3*$C3)</f>
        <v>-236.33608333333177</v>
      </c>
    </row>
    <row r="4" spans="1:7" s="1" customFormat="1" ht="18.75">
      <c r="A4" s="20" t="s">
        <v>105</v>
      </c>
      <c r="B4" s="21">
        <v>4000</v>
      </c>
      <c r="C4" s="19">
        <f>-TRANSACTION!$H$53/4000</f>
        <v>7.766585</v>
      </c>
      <c r="D4" s="19">
        <v>7.95</v>
      </c>
      <c r="E4" s="19">
        <f>$B4*$D4</f>
        <v>31800</v>
      </c>
      <c r="F4" s="26">
        <f>$E4/$E$17</f>
        <v>0.2241794818943863</v>
      </c>
      <c r="G4" s="19">
        <f>$E4-($B4*$C4)</f>
        <v>733.6599999999999</v>
      </c>
    </row>
    <row r="5" spans="1:7" s="1" customFormat="1" ht="18.75">
      <c r="A5" s="20" t="s">
        <v>30</v>
      </c>
      <c r="B5" s="21">
        <v>400</v>
      </c>
      <c r="C5" s="19">
        <v>27.59</v>
      </c>
      <c r="D5" s="19">
        <v>23</v>
      </c>
      <c r="E5" s="19">
        <f>$B5*$D5</f>
        <v>9200</v>
      </c>
      <c r="F5" s="26">
        <f>$E5/$E$17</f>
        <v>0.06485695702604886</v>
      </c>
      <c r="G5" s="19">
        <f>$E5-($B5*$C5)</f>
        <v>-1836</v>
      </c>
    </row>
    <row r="6" spans="1:9" s="1" customFormat="1" ht="18.75">
      <c r="A6" s="33"/>
      <c r="B6" s="33"/>
      <c r="C6" s="61"/>
      <c r="D6" s="33"/>
      <c r="E6" s="33"/>
      <c r="F6" s="33"/>
      <c r="G6" s="33"/>
      <c r="I6" s="7"/>
    </row>
    <row r="7" spans="1:7" s="1" customFormat="1" ht="18.75">
      <c r="A7" s="20"/>
      <c r="B7" s="21"/>
      <c r="C7" s="19"/>
      <c r="D7" s="19"/>
      <c r="E7" s="19"/>
      <c r="F7" s="26"/>
      <c r="G7" s="19"/>
    </row>
    <row r="8" spans="1:7" s="1" customFormat="1" ht="18.75">
      <c r="A8" s="33"/>
      <c r="B8" s="33"/>
      <c r="C8" s="33"/>
      <c r="D8" s="33"/>
      <c r="E8" s="33"/>
      <c r="F8" s="33"/>
      <c r="G8" s="33"/>
    </row>
    <row r="9" spans="1:7" s="1" customFormat="1" ht="20.25">
      <c r="A9" s="20"/>
      <c r="B9" s="21"/>
      <c r="C9" s="19"/>
      <c r="D9" s="19"/>
      <c r="E9" s="27"/>
      <c r="F9" s="26"/>
      <c r="G9" s="27"/>
    </row>
    <row r="10" spans="1:7" s="1" customFormat="1" ht="20.25">
      <c r="A10" s="73" t="s">
        <v>35</v>
      </c>
      <c r="B10" s="73"/>
      <c r="C10" s="35"/>
      <c r="D10" s="35"/>
      <c r="E10" s="36">
        <f>SUM($E3:$E9)</f>
        <v>52250</v>
      </c>
      <c r="F10" s="37">
        <f>SUM($F3:$F9)</f>
        <v>0.3683452178925058</v>
      </c>
      <c r="G10" s="27">
        <f>SUM($G3:$G9)</f>
        <v>-1338.676083333332</v>
      </c>
    </row>
    <row r="11" spans="2:7" s="1" customFormat="1" ht="18.75">
      <c r="B11" s="3"/>
      <c r="C11" s="2"/>
      <c r="D11" s="2"/>
      <c r="E11" s="2"/>
      <c r="F11" s="2"/>
      <c r="G11" s="2"/>
    </row>
    <row r="12" spans="1:7" s="1" customFormat="1" ht="18.75">
      <c r="A12" s="69" t="s">
        <v>17</v>
      </c>
      <c r="B12" s="69"/>
      <c r="C12" s="19"/>
      <c r="D12" s="19"/>
      <c r="E12" s="19">
        <v>52430.34169999999</v>
      </c>
      <c r="F12" s="2"/>
      <c r="G12" s="2"/>
    </row>
    <row r="13" spans="1:7" s="1" customFormat="1" ht="18.75">
      <c r="A13" s="69" t="s">
        <v>38</v>
      </c>
      <c r="B13" s="69"/>
      <c r="C13" s="19"/>
      <c r="D13" s="19"/>
      <c r="E13" s="19">
        <f>TRANSACTION!$H$56</f>
        <v>37170.285</v>
      </c>
      <c r="F13" s="2"/>
      <c r="G13" s="2"/>
    </row>
    <row r="14" spans="1:7" s="1" customFormat="1" ht="18.75">
      <c r="A14" s="69" t="s">
        <v>78</v>
      </c>
      <c r="B14" s="69"/>
      <c r="C14" s="19"/>
      <c r="D14" s="19"/>
      <c r="E14" s="19">
        <v>0</v>
      </c>
      <c r="F14" s="2"/>
      <c r="G14" s="2"/>
    </row>
    <row r="15" spans="1:6" s="1" customFormat="1" ht="20.25">
      <c r="A15" s="70" t="s">
        <v>19</v>
      </c>
      <c r="B15" s="70"/>
      <c r="C15" s="38"/>
      <c r="D15" s="38"/>
      <c r="E15" s="36">
        <f>SUM($E12:$E14)</f>
        <v>89600.6267</v>
      </c>
      <c r="F15" s="37">
        <f>$E15/$E$17</f>
        <v>0.6316547821074942</v>
      </c>
    </row>
    <row r="16" spans="1:5" s="1" customFormat="1" ht="18.75">
      <c r="A16" s="18"/>
      <c r="B16" s="18"/>
      <c r="E16" s="2"/>
    </row>
    <row r="17" spans="1:6" s="1" customFormat="1" ht="20.25">
      <c r="A17" s="70" t="s">
        <v>20</v>
      </c>
      <c r="B17" s="70"/>
      <c r="C17" s="38"/>
      <c r="D17" s="38"/>
      <c r="E17" s="36">
        <f>SUM($E10,$E15)</f>
        <v>141850.6267</v>
      </c>
      <c r="F17" s="37">
        <f>SUM($F10,$F15)</f>
        <v>1</v>
      </c>
    </row>
    <row r="18" spans="1:5" s="1" customFormat="1" ht="18.75">
      <c r="A18" s="71" t="s">
        <v>33</v>
      </c>
      <c r="B18" s="71"/>
      <c r="C18" s="20"/>
      <c r="D18" s="20"/>
      <c r="E18" s="21">
        <v>13963</v>
      </c>
    </row>
    <row r="19" spans="1:8" s="1" customFormat="1" ht="21.75">
      <c r="A19" s="68" t="s">
        <v>34</v>
      </c>
      <c r="B19" s="68"/>
      <c r="C19" s="38"/>
      <c r="D19" s="38"/>
      <c r="E19" s="39">
        <f>E$17/E$18</f>
        <v>10.1590365036167</v>
      </c>
      <c r="F19" s="4"/>
      <c r="G19" s="6"/>
      <c r="H19" s="62"/>
    </row>
  </sheetData>
  <mergeCells count="9">
    <mergeCell ref="A1:G1"/>
    <mergeCell ref="A10:B10"/>
    <mergeCell ref="A12:B12"/>
    <mergeCell ref="A13:B13"/>
    <mergeCell ref="A19:B19"/>
    <mergeCell ref="A14:B14"/>
    <mergeCell ref="A15:B15"/>
    <mergeCell ref="A17:B17"/>
    <mergeCell ref="A18:B1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15" sqref="E15"/>
    </sheetView>
  </sheetViews>
  <sheetFormatPr defaultColWidth="9.140625" defaultRowHeight="21.75"/>
  <cols>
    <col min="1" max="1" width="10.7109375" style="0" customWidth="1"/>
    <col min="2" max="2" width="10.28125" style="0" customWidth="1"/>
    <col min="3" max="3" width="10.00390625" style="0" customWidth="1"/>
    <col min="4" max="4" width="11.140625" style="0" customWidth="1"/>
    <col min="5" max="5" width="12.57421875" style="0" customWidth="1"/>
    <col min="6" max="6" width="10.57421875" style="0" customWidth="1"/>
    <col min="7" max="7" width="13.00390625" style="0" customWidth="1"/>
  </cols>
  <sheetData>
    <row r="1" spans="1:7" s="8" customFormat="1" ht="21">
      <c r="A1" s="72" t="s">
        <v>112</v>
      </c>
      <c r="B1" s="72"/>
      <c r="C1" s="72"/>
      <c r="D1" s="72"/>
      <c r="E1" s="72"/>
      <c r="F1" s="72"/>
      <c r="G1" s="72"/>
    </row>
    <row r="2" spans="1:7" s="1" customFormat="1" ht="18.75">
      <c r="A2" s="34" t="s">
        <v>2</v>
      </c>
      <c r="B2" s="34" t="s">
        <v>4</v>
      </c>
      <c r="C2" s="34" t="s">
        <v>9</v>
      </c>
      <c r="D2" s="34" t="s">
        <v>10</v>
      </c>
      <c r="E2" s="34" t="s">
        <v>11</v>
      </c>
      <c r="F2" s="34" t="s">
        <v>12</v>
      </c>
      <c r="G2" s="34" t="s">
        <v>27</v>
      </c>
    </row>
    <row r="3" spans="1:7" s="1" customFormat="1" ht="18.75">
      <c r="A3" s="20" t="s">
        <v>32</v>
      </c>
      <c r="B3" s="21">
        <v>300</v>
      </c>
      <c r="C3" s="19">
        <f>-((-36.67*500)+(TRANSACTION!$H$36)+(TRANSACTION!$H$39)+(TRANSACTION!$H$42))/1800</f>
        <v>38.28778694444444</v>
      </c>
      <c r="D3" s="19">
        <v>37.5</v>
      </c>
      <c r="E3" s="19">
        <f>$B3*$D3</f>
        <v>11250</v>
      </c>
      <c r="F3" s="26">
        <f>$E3/$E$17</f>
        <v>0.07949609414384519</v>
      </c>
      <c r="G3" s="19">
        <f>$E3-($B3*$C3)</f>
        <v>-236.33608333333177</v>
      </c>
    </row>
    <row r="4" spans="1:7" s="1" customFormat="1" ht="18.75">
      <c r="A4" s="20" t="s">
        <v>105</v>
      </c>
      <c r="B4" s="21">
        <v>2000</v>
      </c>
      <c r="C4" s="19">
        <f>-TRANSACTION!$H$53/4000</f>
        <v>7.766585</v>
      </c>
      <c r="D4" s="19">
        <v>7.75</v>
      </c>
      <c r="E4" s="19">
        <f>$B4*$D4</f>
        <v>15500</v>
      </c>
      <c r="F4" s="26">
        <f>$E4/$E$17</f>
        <v>0.10952795193152004</v>
      </c>
      <c r="G4" s="19">
        <f>$E4-($B4*$C4)</f>
        <v>-33.17000000000007</v>
      </c>
    </row>
    <row r="5" spans="1:7" s="1" customFormat="1" ht="18.75">
      <c r="A5" s="20" t="s">
        <v>30</v>
      </c>
      <c r="B5" s="21">
        <v>400</v>
      </c>
      <c r="C5" s="19">
        <v>27.59</v>
      </c>
      <c r="D5" s="19">
        <v>23</v>
      </c>
      <c r="E5" s="19">
        <f>$B5*$D5</f>
        <v>9200</v>
      </c>
      <c r="F5" s="26">
        <f>$E5/$E$17</f>
        <v>0.06501013921096674</v>
      </c>
      <c r="G5" s="19">
        <f>$E5-($B5*$C5)</f>
        <v>-1836</v>
      </c>
    </row>
    <row r="6" spans="1:9" s="1" customFormat="1" ht="18.75">
      <c r="A6" s="33"/>
      <c r="B6" s="33"/>
      <c r="C6" s="61"/>
      <c r="D6" s="33"/>
      <c r="E6" s="33"/>
      <c r="F6" s="33"/>
      <c r="G6" s="33"/>
      <c r="I6" s="7"/>
    </row>
    <row r="7" spans="1:7" s="1" customFormat="1" ht="18.75">
      <c r="A7" s="20"/>
      <c r="B7" s="21"/>
      <c r="C7" s="19"/>
      <c r="D7" s="19"/>
      <c r="E7" s="19"/>
      <c r="F7" s="26"/>
      <c r="G7" s="19"/>
    </row>
    <row r="8" spans="1:7" s="1" customFormat="1" ht="18.75">
      <c r="A8" s="33"/>
      <c r="B8" s="33"/>
      <c r="C8" s="33"/>
      <c r="D8" s="33"/>
      <c r="E8" s="33"/>
      <c r="F8" s="33"/>
      <c r="G8" s="33"/>
    </row>
    <row r="9" spans="1:7" s="1" customFormat="1" ht="20.25">
      <c r="A9" s="20"/>
      <c r="B9" s="21"/>
      <c r="C9" s="19"/>
      <c r="D9" s="19"/>
      <c r="E9" s="27"/>
      <c r="F9" s="26"/>
      <c r="G9" s="27"/>
    </row>
    <row r="10" spans="1:7" s="1" customFormat="1" ht="20.25">
      <c r="A10" s="73" t="s">
        <v>35</v>
      </c>
      <c r="B10" s="73"/>
      <c r="C10" s="35"/>
      <c r="D10" s="35"/>
      <c r="E10" s="36">
        <f>SUM($E3:$E9)</f>
        <v>35950</v>
      </c>
      <c r="F10" s="37">
        <f>SUM($F3:$F9)</f>
        <v>0.2540341852863319</v>
      </c>
      <c r="G10" s="27">
        <f>SUM($G3:$G9)</f>
        <v>-2105.506083333332</v>
      </c>
    </row>
    <row r="11" spans="2:7" s="1" customFormat="1" ht="18.75">
      <c r="B11" s="3"/>
      <c r="C11" s="2"/>
      <c r="D11" s="2"/>
      <c r="E11" s="2"/>
      <c r="F11" s="2"/>
      <c r="G11" s="2"/>
    </row>
    <row r="12" spans="1:7" s="1" customFormat="1" ht="18.75">
      <c r="A12" s="69" t="s">
        <v>17</v>
      </c>
      <c r="B12" s="69"/>
      <c r="C12" s="19"/>
      <c r="D12" s="19"/>
      <c r="E12" s="19">
        <v>89600.6267</v>
      </c>
      <c r="F12" s="2"/>
      <c r="G12" s="2"/>
    </row>
    <row r="13" spans="1:7" s="1" customFormat="1" ht="18.75">
      <c r="A13" s="69" t="s">
        <v>38</v>
      </c>
      <c r="B13" s="69"/>
      <c r="C13" s="19"/>
      <c r="D13" s="19"/>
      <c r="E13" s="19">
        <f>TRANSACTION!$H$58</f>
        <v>15965.76</v>
      </c>
      <c r="F13" s="2"/>
      <c r="G13" s="2"/>
    </row>
    <row r="14" spans="1:7" s="1" customFormat="1" ht="18.75">
      <c r="A14" s="69" t="s">
        <v>78</v>
      </c>
      <c r="B14" s="69"/>
      <c r="C14" s="19"/>
      <c r="D14" s="19"/>
      <c r="E14" s="19">
        <v>0</v>
      </c>
      <c r="F14" s="2"/>
      <c r="G14" s="2"/>
    </row>
    <row r="15" spans="1:6" s="1" customFormat="1" ht="20.25">
      <c r="A15" s="70" t="s">
        <v>19</v>
      </c>
      <c r="B15" s="70"/>
      <c r="C15" s="38"/>
      <c r="D15" s="38"/>
      <c r="E15" s="36">
        <f>SUM($E12:$E14)</f>
        <v>105566.38669999999</v>
      </c>
      <c r="F15" s="37">
        <f>$E15/$E$17</f>
        <v>0.7459658147136681</v>
      </c>
    </row>
    <row r="16" spans="1:5" s="1" customFormat="1" ht="18.75">
      <c r="A16" s="18"/>
      <c r="B16" s="18"/>
      <c r="E16" s="2"/>
    </row>
    <row r="17" spans="1:6" s="1" customFormat="1" ht="20.25">
      <c r="A17" s="70" t="s">
        <v>20</v>
      </c>
      <c r="B17" s="70"/>
      <c r="C17" s="38"/>
      <c r="D17" s="38"/>
      <c r="E17" s="36">
        <f>SUM($E10,$E15)</f>
        <v>141516.38669999997</v>
      </c>
      <c r="F17" s="37">
        <f>SUM($F10,$F15)</f>
        <v>1</v>
      </c>
    </row>
    <row r="18" spans="1:5" s="1" customFormat="1" ht="18.75">
      <c r="A18" s="71" t="s">
        <v>33</v>
      </c>
      <c r="B18" s="71"/>
      <c r="C18" s="20"/>
      <c r="D18" s="20"/>
      <c r="E18" s="21">
        <v>13963</v>
      </c>
    </row>
    <row r="19" spans="1:8" s="1" customFormat="1" ht="21.75">
      <c r="A19" s="68" t="s">
        <v>34</v>
      </c>
      <c r="B19" s="68"/>
      <c r="C19" s="38"/>
      <c r="D19" s="38"/>
      <c r="E19" s="39">
        <f>E$17/E$18</f>
        <v>10.13509895437943</v>
      </c>
      <c r="F19" s="4"/>
      <c r="G19" s="6"/>
      <c r="H19" s="62"/>
    </row>
  </sheetData>
  <mergeCells count="9">
    <mergeCell ref="A19:B19"/>
    <mergeCell ref="A14:B14"/>
    <mergeCell ref="A15:B15"/>
    <mergeCell ref="A17:B17"/>
    <mergeCell ref="A18:B18"/>
    <mergeCell ref="A1:G1"/>
    <mergeCell ref="A10:B10"/>
    <mergeCell ref="A12:B12"/>
    <mergeCell ref="A13:B1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19" sqref="G19"/>
    </sheetView>
  </sheetViews>
  <sheetFormatPr defaultColWidth="9.140625" defaultRowHeight="21.75"/>
  <cols>
    <col min="1" max="1" width="10.7109375" style="0" customWidth="1"/>
    <col min="2" max="2" width="10.28125" style="0" customWidth="1"/>
    <col min="3" max="3" width="10.00390625" style="0" customWidth="1"/>
    <col min="4" max="4" width="11.140625" style="0" customWidth="1"/>
    <col min="5" max="5" width="12.57421875" style="0" customWidth="1"/>
    <col min="6" max="6" width="10.57421875" style="0" customWidth="1"/>
    <col min="7" max="7" width="13.00390625" style="0" customWidth="1"/>
  </cols>
  <sheetData>
    <row r="1" spans="1:7" s="8" customFormat="1" ht="21">
      <c r="A1" s="72" t="s">
        <v>114</v>
      </c>
      <c r="B1" s="72"/>
      <c r="C1" s="72"/>
      <c r="D1" s="72"/>
      <c r="E1" s="72"/>
      <c r="F1" s="72"/>
      <c r="G1" s="72"/>
    </row>
    <row r="2" spans="1:7" s="1" customFormat="1" ht="18.75">
      <c r="A2" s="34" t="s">
        <v>2</v>
      </c>
      <c r="B2" s="34" t="s">
        <v>4</v>
      </c>
      <c r="C2" s="34" t="s">
        <v>9</v>
      </c>
      <c r="D2" s="34" t="s">
        <v>10</v>
      </c>
      <c r="E2" s="34" t="s">
        <v>11</v>
      </c>
      <c r="F2" s="34" t="s">
        <v>12</v>
      </c>
      <c r="G2" s="34" t="s">
        <v>27</v>
      </c>
    </row>
    <row r="3" spans="1:7" s="1" customFormat="1" ht="18.75">
      <c r="A3" s="20" t="s">
        <v>32</v>
      </c>
      <c r="B3" s="21">
        <v>300</v>
      </c>
      <c r="C3" s="19">
        <f>-((-36.67*500)+(TRANSACTION!$H$36)+(TRANSACTION!$H$39)+(TRANSACTION!$H$42))/1800</f>
        <v>38.28778694444444</v>
      </c>
      <c r="D3" s="19">
        <v>37.5</v>
      </c>
      <c r="E3" s="19">
        <f>$B3*$D3</f>
        <v>11250</v>
      </c>
      <c r="F3" s="26">
        <f>$E3/$E$17</f>
        <v>0.08101077966375123</v>
      </c>
      <c r="G3" s="19">
        <f>$E3-($B3*$C3)</f>
        <v>-236.33608333333177</v>
      </c>
    </row>
    <row r="4" spans="1:7" s="1" customFormat="1" ht="18.75">
      <c r="A4" s="20" t="s">
        <v>105</v>
      </c>
      <c r="B4" s="21">
        <v>2000</v>
      </c>
      <c r="C4" s="19">
        <f>-TRANSACTION!$H$53/4000</f>
        <v>7.766585</v>
      </c>
      <c r="D4" s="19">
        <v>7.75</v>
      </c>
      <c r="E4" s="19">
        <f>$B4*$D4</f>
        <v>15500</v>
      </c>
      <c r="F4" s="26">
        <f>$E4/$E$17</f>
        <v>0.11161485198116836</v>
      </c>
      <c r="G4" s="19">
        <f>$E4-($B4*$C4)</f>
        <v>-33.17000000000007</v>
      </c>
    </row>
    <row r="5" spans="1:7" s="1" customFormat="1" ht="18.75">
      <c r="A5" s="20" t="s">
        <v>30</v>
      </c>
      <c r="B5" s="21">
        <v>400</v>
      </c>
      <c r="C5" s="19">
        <v>27.59</v>
      </c>
      <c r="D5" s="19">
        <v>23</v>
      </c>
      <c r="E5" s="19">
        <f>$B5*$D5</f>
        <v>9200</v>
      </c>
      <c r="F5" s="26">
        <f>$E5/$E$17</f>
        <v>0.06624881536946767</v>
      </c>
      <c r="G5" s="19">
        <f>$E5-($B5*$C5)</f>
        <v>-1836</v>
      </c>
    </row>
    <row r="6" spans="1:9" s="1" customFormat="1" ht="18.75">
      <c r="A6" s="33"/>
      <c r="B6" s="33"/>
      <c r="C6" s="61"/>
      <c r="D6" s="33"/>
      <c r="E6" s="33"/>
      <c r="F6" s="33"/>
      <c r="G6" s="33"/>
      <c r="I6" s="7"/>
    </row>
    <row r="7" spans="1:7" s="1" customFormat="1" ht="18.75">
      <c r="A7" s="20"/>
      <c r="B7" s="21"/>
      <c r="C7" s="19"/>
      <c r="D7" s="19"/>
      <c r="E7" s="19"/>
      <c r="F7" s="26"/>
      <c r="G7" s="19"/>
    </row>
    <row r="8" spans="1:7" s="1" customFormat="1" ht="18.75">
      <c r="A8" s="33"/>
      <c r="B8" s="33"/>
      <c r="C8" s="33"/>
      <c r="D8" s="33"/>
      <c r="E8" s="33"/>
      <c r="F8" s="33"/>
      <c r="G8" s="33"/>
    </row>
    <row r="9" spans="1:7" s="1" customFormat="1" ht="20.25">
      <c r="A9" s="20"/>
      <c r="B9" s="21"/>
      <c r="C9" s="19"/>
      <c r="D9" s="19"/>
      <c r="E9" s="27"/>
      <c r="F9" s="26"/>
      <c r="G9" s="27"/>
    </row>
    <row r="10" spans="1:7" s="1" customFormat="1" ht="20.25">
      <c r="A10" s="73" t="s">
        <v>35</v>
      </c>
      <c r="B10" s="73"/>
      <c r="C10" s="35"/>
      <c r="D10" s="35"/>
      <c r="E10" s="36">
        <f>SUM($E3:$E9)</f>
        <v>35950</v>
      </c>
      <c r="F10" s="37">
        <f>SUM($F3:$F9)</f>
        <v>0.2588744470143872</v>
      </c>
      <c r="G10" s="27">
        <f>SUM($G3:$G9)</f>
        <v>-2105.506083333332</v>
      </c>
    </row>
    <row r="11" spans="2:7" s="1" customFormat="1" ht="18.75">
      <c r="B11" s="3"/>
      <c r="C11" s="2"/>
      <c r="D11" s="2"/>
      <c r="E11" s="2"/>
      <c r="F11" s="2"/>
      <c r="G11" s="2"/>
    </row>
    <row r="12" spans="1:7" s="1" customFormat="1" ht="18.75">
      <c r="A12" s="69" t="s">
        <v>17</v>
      </c>
      <c r="B12" s="69"/>
      <c r="C12" s="19"/>
      <c r="D12" s="19"/>
      <c r="E12" s="19">
        <v>105566.38669999999</v>
      </c>
      <c r="F12" s="2"/>
      <c r="G12" s="2"/>
    </row>
    <row r="13" spans="1:7" s="1" customFormat="1" ht="18.75">
      <c r="A13" s="69" t="s">
        <v>14</v>
      </c>
      <c r="B13" s="69"/>
      <c r="C13" s="19"/>
      <c r="D13" s="19"/>
      <c r="E13" s="19">
        <v>0</v>
      </c>
      <c r="F13" s="2"/>
      <c r="G13" s="2"/>
    </row>
    <row r="14" spans="1:7" s="1" customFormat="1" ht="18.75">
      <c r="A14" s="69" t="s">
        <v>78</v>
      </c>
      <c r="B14" s="69"/>
      <c r="C14" s="19"/>
      <c r="D14" s="19"/>
      <c r="E14" s="19">
        <f>TRANSACTION!$H$61</f>
        <v>-2645.9789999999994</v>
      </c>
      <c r="F14" s="2"/>
      <c r="G14" s="2"/>
    </row>
    <row r="15" spans="1:6" s="1" customFormat="1" ht="20.25">
      <c r="A15" s="70" t="s">
        <v>19</v>
      </c>
      <c r="B15" s="70"/>
      <c r="C15" s="38"/>
      <c r="D15" s="38"/>
      <c r="E15" s="36">
        <f>SUM($E12:$E14)</f>
        <v>102920.40769999998</v>
      </c>
      <c r="F15" s="37">
        <f>$E15/$E$17</f>
        <v>0.7411255529856128</v>
      </c>
    </row>
    <row r="16" spans="1:5" s="1" customFormat="1" ht="18.75">
      <c r="A16" s="18"/>
      <c r="B16" s="18"/>
      <c r="E16" s="2"/>
    </row>
    <row r="17" spans="1:6" s="1" customFormat="1" ht="20.25">
      <c r="A17" s="70" t="s">
        <v>20</v>
      </c>
      <c r="B17" s="70"/>
      <c r="C17" s="38"/>
      <c r="D17" s="38"/>
      <c r="E17" s="36">
        <f>SUM($E10,$E15)</f>
        <v>138870.40769999998</v>
      </c>
      <c r="F17" s="37">
        <f>SUM($F10,$F15)</f>
        <v>1</v>
      </c>
    </row>
    <row r="18" spans="1:5" s="1" customFormat="1" ht="18.75">
      <c r="A18" s="71" t="s">
        <v>33</v>
      </c>
      <c r="B18" s="71"/>
      <c r="C18" s="20"/>
      <c r="D18" s="20"/>
      <c r="E18" s="21">
        <f>13963-261</f>
        <v>13702</v>
      </c>
    </row>
    <row r="19" spans="1:8" s="1" customFormat="1" ht="21.75">
      <c r="A19" s="68" t="s">
        <v>34</v>
      </c>
      <c r="B19" s="68"/>
      <c r="C19" s="38"/>
      <c r="D19" s="38"/>
      <c r="E19" s="39">
        <f>E$17/E$18</f>
        <v>10.135046540650999</v>
      </c>
      <c r="F19" s="4"/>
      <c r="G19" s="6"/>
      <c r="H19" s="62"/>
    </row>
  </sheetData>
  <mergeCells count="9">
    <mergeCell ref="A19:B19"/>
    <mergeCell ref="A14:B14"/>
    <mergeCell ref="A15:B15"/>
    <mergeCell ref="A17:B17"/>
    <mergeCell ref="A18:B18"/>
    <mergeCell ref="A1:G1"/>
    <mergeCell ref="A10:B10"/>
    <mergeCell ref="A12:B12"/>
    <mergeCell ref="A13:B1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15" sqref="E15"/>
    </sheetView>
  </sheetViews>
  <sheetFormatPr defaultColWidth="9.140625" defaultRowHeight="21.75"/>
  <cols>
    <col min="1" max="1" width="10.7109375" style="0" customWidth="1"/>
    <col min="2" max="2" width="10.28125" style="0" customWidth="1"/>
    <col min="3" max="3" width="10.00390625" style="0" customWidth="1"/>
    <col min="4" max="4" width="11.140625" style="0" customWidth="1"/>
    <col min="5" max="5" width="12.57421875" style="0" customWidth="1"/>
    <col min="6" max="6" width="10.57421875" style="0" customWidth="1"/>
    <col min="7" max="7" width="13.00390625" style="0" customWidth="1"/>
  </cols>
  <sheetData>
    <row r="1" spans="1:7" s="8" customFormat="1" ht="21">
      <c r="A1" s="72" t="s">
        <v>120</v>
      </c>
      <c r="B1" s="72"/>
      <c r="C1" s="72"/>
      <c r="D1" s="72"/>
      <c r="E1" s="72"/>
      <c r="F1" s="72"/>
      <c r="G1" s="72"/>
    </row>
    <row r="2" spans="1:7" s="1" customFormat="1" ht="18.75">
      <c r="A2" s="34" t="s">
        <v>2</v>
      </c>
      <c r="B2" s="34" t="s">
        <v>4</v>
      </c>
      <c r="C2" s="34" t="s">
        <v>9</v>
      </c>
      <c r="D2" s="34" t="s">
        <v>10</v>
      </c>
      <c r="E2" s="34" t="s">
        <v>11</v>
      </c>
      <c r="F2" s="34" t="s">
        <v>12</v>
      </c>
      <c r="G2" s="34" t="s">
        <v>27</v>
      </c>
    </row>
    <row r="3" spans="1:7" s="1" customFormat="1" ht="18.75">
      <c r="A3" s="20" t="s">
        <v>119</v>
      </c>
      <c r="B3" s="21">
        <v>300</v>
      </c>
      <c r="C3" s="19">
        <f>-TRANSACTION!$H$66/300</f>
        <v>108.23112</v>
      </c>
      <c r="D3" s="19">
        <v>109</v>
      </c>
      <c r="E3" s="19">
        <f>$B3*$D3</f>
        <v>32700</v>
      </c>
      <c r="F3" s="26">
        <f>$E3/$E$17</f>
        <v>0.23514279363622287</v>
      </c>
      <c r="G3" s="19">
        <f>$E3-($B3*$C3)</f>
        <v>230.66399999999703</v>
      </c>
    </row>
    <row r="4" spans="1:7" s="1" customFormat="1" ht="18.75">
      <c r="A4" s="20" t="s">
        <v>32</v>
      </c>
      <c r="B4" s="21">
        <v>300</v>
      </c>
      <c r="C4" s="19">
        <f>-((-36.67*500)+(TRANSACTION!$H$36)+(TRANSACTION!$H$39)+(TRANSACTION!$H$42))/1800</f>
        <v>38.28778694444444</v>
      </c>
      <c r="D4" s="19">
        <v>37.5</v>
      </c>
      <c r="E4" s="19">
        <f>$B4*$D4</f>
        <v>11250</v>
      </c>
      <c r="F4" s="26">
        <f>$E4/$E$17</f>
        <v>0.08089775010420512</v>
      </c>
      <c r="G4" s="19">
        <f>$E4-($B4*$C4)</f>
        <v>-236.33608333333177</v>
      </c>
    </row>
    <row r="5" spans="1:7" s="1" customFormat="1" ht="18.75">
      <c r="A5" s="20" t="s">
        <v>105</v>
      </c>
      <c r="B5" s="21">
        <v>2000</v>
      </c>
      <c r="C5" s="19">
        <f>-TRANSACTION!$H$53/4000</f>
        <v>7.766585</v>
      </c>
      <c r="D5" s="19">
        <v>7.6</v>
      </c>
      <c r="E5" s="19">
        <f>$B5*$D5</f>
        <v>15200</v>
      </c>
      <c r="F5" s="26">
        <f>$E5/$E$17</f>
        <v>0.10930184902968158</v>
      </c>
      <c r="G5" s="19">
        <f>$E5-($B5*$C5)</f>
        <v>-333.1700000000001</v>
      </c>
    </row>
    <row r="6" spans="1:9" s="1" customFormat="1" ht="18.75">
      <c r="A6" s="20" t="s">
        <v>118</v>
      </c>
      <c r="B6" s="21">
        <v>10500</v>
      </c>
      <c r="C6" s="64">
        <f>-(((TRANSACTION!H62/5000)*500)+SUM(TRANSACTION!H64:H65))/10500</f>
        <v>4.201352647619047</v>
      </c>
      <c r="D6" s="19">
        <v>4.2</v>
      </c>
      <c r="E6" s="19">
        <f>$B6*$D6</f>
        <v>44100</v>
      </c>
      <c r="F6" s="26">
        <f>$E6/$E$17</f>
        <v>0.3171191804084841</v>
      </c>
      <c r="G6" s="19">
        <f>$E6-($B6*$C6)</f>
        <v>-14.202799999999115</v>
      </c>
      <c r="I6" s="7"/>
    </row>
    <row r="7" spans="1:7" s="1" customFormat="1" ht="18.75">
      <c r="A7" s="20" t="s">
        <v>30</v>
      </c>
      <c r="B7" s="21">
        <v>400</v>
      </c>
      <c r="C7" s="19">
        <v>27.59</v>
      </c>
      <c r="D7" s="19">
        <v>23</v>
      </c>
      <c r="E7" s="19">
        <f>$B7*$D7</f>
        <v>9200</v>
      </c>
      <c r="F7" s="26">
        <f>$E7/$E$17</f>
        <v>0.06615638230743885</v>
      </c>
      <c r="G7" s="19">
        <f>$E7-($B7*$C7)</f>
        <v>-1836</v>
      </c>
    </row>
    <row r="8" spans="1:7" s="1" customFormat="1" ht="18.75">
      <c r="A8" s="20"/>
      <c r="B8" s="21"/>
      <c r="C8" s="19"/>
      <c r="D8" s="19"/>
      <c r="E8" s="19"/>
      <c r="F8" s="26"/>
      <c r="G8" s="19"/>
    </row>
    <row r="9" spans="1:7" s="1" customFormat="1" ht="20.25">
      <c r="A9" s="20"/>
      <c r="B9" s="21"/>
      <c r="C9" s="19"/>
      <c r="D9" s="19"/>
      <c r="E9" s="27"/>
      <c r="F9" s="26"/>
      <c r="G9" s="27"/>
    </row>
    <row r="10" spans="1:7" s="1" customFormat="1" ht="20.25">
      <c r="A10" s="73" t="s">
        <v>35</v>
      </c>
      <c r="B10" s="73"/>
      <c r="C10" s="35"/>
      <c r="D10" s="35"/>
      <c r="E10" s="36">
        <f>SUM($E3:$E9)</f>
        <v>112450</v>
      </c>
      <c r="F10" s="37">
        <f>SUM($F3:$F9)</f>
        <v>0.8086179554860325</v>
      </c>
      <c r="G10" s="27">
        <f>SUM($G3:$G9)</f>
        <v>-2189.044883333334</v>
      </c>
    </row>
    <row r="11" spans="2:7" s="1" customFormat="1" ht="18.75">
      <c r="B11" s="3"/>
      <c r="C11" s="2"/>
      <c r="D11" s="2"/>
      <c r="E11" s="2"/>
      <c r="F11" s="2"/>
      <c r="G11" s="2"/>
    </row>
    <row r="12" spans="1:7" s="1" customFormat="1" ht="18.75">
      <c r="A12" s="69" t="s">
        <v>17</v>
      </c>
      <c r="B12" s="69"/>
      <c r="C12" s="19"/>
      <c r="D12" s="19"/>
      <c r="E12" s="19">
        <v>102920.40769999998</v>
      </c>
      <c r="F12" s="2"/>
      <c r="G12" s="2"/>
    </row>
    <row r="13" spans="1:7" s="1" customFormat="1" ht="18.75">
      <c r="A13" s="69" t="s">
        <v>14</v>
      </c>
      <c r="B13" s="69"/>
      <c r="C13" s="19"/>
      <c r="D13" s="19"/>
      <c r="E13" s="19">
        <f>TRANSACTION!$H$67</f>
        <v>-76305.9716</v>
      </c>
      <c r="F13" s="2"/>
      <c r="G13" s="2"/>
    </row>
    <row r="14" spans="1:7" s="1" customFormat="1" ht="18.75">
      <c r="A14" s="69" t="s">
        <v>78</v>
      </c>
      <c r="B14" s="69"/>
      <c r="C14" s="19"/>
      <c r="D14" s="19"/>
      <c r="E14" s="19">
        <v>0</v>
      </c>
      <c r="F14" s="2"/>
      <c r="G14" s="2"/>
    </row>
    <row r="15" spans="1:6" s="1" customFormat="1" ht="20.25">
      <c r="A15" s="70" t="s">
        <v>19</v>
      </c>
      <c r="B15" s="70"/>
      <c r="C15" s="38"/>
      <c r="D15" s="38"/>
      <c r="E15" s="36">
        <f>SUM($E12:$E14)</f>
        <v>26614.436099999977</v>
      </c>
      <c r="F15" s="37">
        <f>$E15/$E$17</f>
        <v>0.19138204451396743</v>
      </c>
    </row>
    <row r="16" spans="1:5" s="1" customFormat="1" ht="18.75">
      <c r="A16" s="18"/>
      <c r="B16" s="18"/>
      <c r="E16" s="2"/>
    </row>
    <row r="17" spans="1:6" s="1" customFormat="1" ht="20.25">
      <c r="A17" s="70" t="s">
        <v>20</v>
      </c>
      <c r="B17" s="70"/>
      <c r="C17" s="38"/>
      <c r="D17" s="38"/>
      <c r="E17" s="36">
        <f>SUM($E10,$E15)</f>
        <v>139064.4361</v>
      </c>
      <c r="F17" s="37">
        <f>SUM($F10,$F15)</f>
        <v>1</v>
      </c>
    </row>
    <row r="18" spans="1:5" s="1" customFormat="1" ht="18.75">
      <c r="A18" s="71" t="s">
        <v>33</v>
      </c>
      <c r="B18" s="71"/>
      <c r="C18" s="20"/>
      <c r="D18" s="20"/>
      <c r="E18" s="21">
        <f>13963-261</f>
        <v>13702</v>
      </c>
    </row>
    <row r="19" spans="1:8" s="1" customFormat="1" ht="21.75">
      <c r="A19" s="68" t="s">
        <v>34</v>
      </c>
      <c r="B19" s="68"/>
      <c r="C19" s="38"/>
      <c r="D19" s="38"/>
      <c r="E19" s="39">
        <f>E$17/E$18</f>
        <v>10.149207130345934</v>
      </c>
      <c r="F19" s="4"/>
      <c r="G19" s="6"/>
      <c r="H19" s="62"/>
    </row>
  </sheetData>
  <mergeCells count="9">
    <mergeCell ref="A19:B19"/>
    <mergeCell ref="A14:B14"/>
    <mergeCell ref="A15:B15"/>
    <mergeCell ref="A17:B17"/>
    <mergeCell ref="A18:B18"/>
    <mergeCell ref="A1:G1"/>
    <mergeCell ref="A10:B10"/>
    <mergeCell ref="A12:B12"/>
    <mergeCell ref="A13:B1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15" sqref="E15"/>
    </sheetView>
  </sheetViews>
  <sheetFormatPr defaultColWidth="9.140625" defaultRowHeight="21.75"/>
  <cols>
    <col min="1" max="1" width="10.7109375" style="0" customWidth="1"/>
    <col min="2" max="2" width="10.28125" style="0" customWidth="1"/>
    <col min="3" max="3" width="10.00390625" style="0" customWidth="1"/>
    <col min="4" max="4" width="11.140625" style="0" customWidth="1"/>
    <col min="5" max="5" width="12.57421875" style="0" customWidth="1"/>
    <col min="6" max="6" width="10.57421875" style="0" customWidth="1"/>
    <col min="7" max="7" width="13.00390625" style="0" customWidth="1"/>
  </cols>
  <sheetData>
    <row r="1" spans="1:7" s="8" customFormat="1" ht="21">
      <c r="A1" s="72" t="s">
        <v>123</v>
      </c>
      <c r="B1" s="72"/>
      <c r="C1" s="72"/>
      <c r="D1" s="72"/>
      <c r="E1" s="72"/>
      <c r="F1" s="72"/>
      <c r="G1" s="72"/>
    </row>
    <row r="2" spans="1:7" s="1" customFormat="1" ht="18.75">
      <c r="A2" s="34" t="s">
        <v>2</v>
      </c>
      <c r="B2" s="34" t="s">
        <v>4</v>
      </c>
      <c r="C2" s="34" t="s">
        <v>9</v>
      </c>
      <c r="D2" s="34" t="s">
        <v>10</v>
      </c>
      <c r="E2" s="34" t="s">
        <v>11</v>
      </c>
      <c r="F2" s="34" t="s">
        <v>12</v>
      </c>
      <c r="G2" s="34" t="s">
        <v>27</v>
      </c>
    </row>
    <row r="3" spans="1:7" s="1" customFormat="1" ht="18.75">
      <c r="A3" s="20" t="s">
        <v>119</v>
      </c>
      <c r="B3" s="21">
        <v>300</v>
      </c>
      <c r="C3" s="19">
        <f>-TRANSACTION!$H$66/300</f>
        <v>108.23112</v>
      </c>
      <c r="D3" s="19">
        <v>110</v>
      </c>
      <c r="E3" s="19">
        <f>$B3*$D3</f>
        <v>33000</v>
      </c>
      <c r="F3" s="26">
        <f>$E3/$E$17</f>
        <v>0.2310418438266062</v>
      </c>
      <c r="G3" s="19">
        <f>$E3-($B3*$C3)</f>
        <v>530.663999999997</v>
      </c>
    </row>
    <row r="4" spans="1:7" s="1" customFormat="1" ht="18.75">
      <c r="A4" s="20" t="s">
        <v>32</v>
      </c>
      <c r="B4" s="21">
        <v>300</v>
      </c>
      <c r="C4" s="19">
        <f>-((-36.67*500)+(TRANSACTION!$H$36)+(TRANSACTION!$H$39)+(TRANSACTION!$H$42))/1800</f>
        <v>38.28778694444444</v>
      </c>
      <c r="D4" s="19">
        <v>37.5</v>
      </c>
      <c r="E4" s="19">
        <f>$B4*$D4</f>
        <v>11250</v>
      </c>
      <c r="F4" s="26">
        <f>$E4/$E$17</f>
        <v>0.07876426494088848</v>
      </c>
      <c r="G4" s="19">
        <f>$E4-($B4*$C4)</f>
        <v>-236.33608333333177</v>
      </c>
    </row>
    <row r="5" spans="1:7" s="1" customFormat="1" ht="18.75">
      <c r="A5" s="20" t="s">
        <v>105</v>
      </c>
      <c r="B5" s="21">
        <v>2000</v>
      </c>
      <c r="C5" s="19">
        <f>-TRANSACTION!$H$53/4000</f>
        <v>7.766585</v>
      </c>
      <c r="D5" s="19">
        <v>7.8</v>
      </c>
      <c r="E5" s="19">
        <f>$B5*$D5</f>
        <v>15600</v>
      </c>
      <c r="F5" s="26">
        <f>$E5/$E$17</f>
        <v>0.10921978071803203</v>
      </c>
      <c r="G5" s="19">
        <f>$E5-($B5*$C5)</f>
        <v>66.82999999999993</v>
      </c>
    </row>
    <row r="6" spans="1:9" s="1" customFormat="1" ht="18.75">
      <c r="A6" s="20" t="s">
        <v>118</v>
      </c>
      <c r="B6" s="21">
        <v>10500</v>
      </c>
      <c r="C6" s="64">
        <f>-(((TRANSACTION!H62/5000)*500)+SUM(TRANSACTION!H64:H65))/10500</f>
        <v>4.201352647619047</v>
      </c>
      <c r="D6" s="19">
        <v>4.42</v>
      </c>
      <c r="E6" s="19">
        <f>$B6*$D6</f>
        <v>46410</v>
      </c>
      <c r="F6" s="26">
        <f>$E6/$E$17</f>
        <v>0.32492884763614527</v>
      </c>
      <c r="G6" s="19">
        <f>$E6-($B6*$C6)</f>
        <v>2295.797200000001</v>
      </c>
      <c r="I6" s="7"/>
    </row>
    <row r="7" spans="1:7" s="1" customFormat="1" ht="18.75">
      <c r="A7" s="20" t="s">
        <v>30</v>
      </c>
      <c r="B7" s="21">
        <v>400</v>
      </c>
      <c r="C7" s="19">
        <v>27.59</v>
      </c>
      <c r="D7" s="19">
        <v>23</v>
      </c>
      <c r="E7" s="19">
        <f>$B7*$D7</f>
        <v>9200</v>
      </c>
      <c r="F7" s="26">
        <f>$E7/$E$17</f>
        <v>0.0644116655516599</v>
      </c>
      <c r="G7" s="19">
        <f>$E7-($B7*$C7)</f>
        <v>-1836</v>
      </c>
    </row>
    <row r="8" spans="1:7" s="1" customFormat="1" ht="18.75">
      <c r="A8" s="20"/>
      <c r="B8" s="21"/>
      <c r="C8" s="19"/>
      <c r="D8" s="19"/>
      <c r="E8" s="19"/>
      <c r="F8" s="26"/>
      <c r="G8" s="19"/>
    </row>
    <row r="9" spans="1:7" s="1" customFormat="1" ht="20.25">
      <c r="A9" s="20"/>
      <c r="B9" s="21"/>
      <c r="C9" s="19"/>
      <c r="D9" s="19"/>
      <c r="E9" s="27"/>
      <c r="F9" s="26"/>
      <c r="G9" s="27"/>
    </row>
    <row r="10" spans="1:7" s="1" customFormat="1" ht="20.25">
      <c r="A10" s="73" t="s">
        <v>35</v>
      </c>
      <c r="B10" s="73"/>
      <c r="C10" s="35"/>
      <c r="D10" s="35"/>
      <c r="E10" s="36">
        <f>SUM($E3:$E9)</f>
        <v>115460</v>
      </c>
      <c r="F10" s="37">
        <f>SUM($F3:$F9)</f>
        <v>0.8083664026733318</v>
      </c>
      <c r="G10" s="27">
        <f>SUM($G3:$G9)</f>
        <v>820.9551166666661</v>
      </c>
    </row>
    <row r="11" spans="2:7" s="1" customFormat="1" ht="18.75">
      <c r="B11" s="3"/>
      <c r="C11" s="2"/>
      <c r="D11" s="2"/>
      <c r="E11" s="2"/>
      <c r="F11" s="2"/>
      <c r="G11" s="2"/>
    </row>
    <row r="12" spans="1:7" s="1" customFormat="1" ht="18.75">
      <c r="A12" s="69" t="s">
        <v>17</v>
      </c>
      <c r="B12" s="69"/>
      <c r="C12" s="19"/>
      <c r="D12" s="19"/>
      <c r="E12" s="19">
        <v>26614.436099999977</v>
      </c>
      <c r="F12" s="2"/>
      <c r="G12" s="2"/>
    </row>
    <row r="13" spans="1:7" s="1" customFormat="1" ht="18.75">
      <c r="A13" s="69" t="s">
        <v>38</v>
      </c>
      <c r="B13" s="69"/>
      <c r="C13" s="19"/>
      <c r="D13" s="19"/>
      <c r="E13" s="19">
        <f>TRANSACTION!$H$70</f>
        <v>756.8339999999953</v>
      </c>
      <c r="F13" s="2"/>
      <c r="G13" s="2"/>
    </row>
    <row r="14" spans="1:7" s="1" customFormat="1" ht="18.75">
      <c r="A14" s="69" t="s">
        <v>78</v>
      </c>
      <c r="B14" s="69"/>
      <c r="C14" s="19"/>
      <c r="D14" s="19"/>
      <c r="E14" s="19">
        <v>0</v>
      </c>
      <c r="F14" s="2"/>
      <c r="G14" s="2"/>
    </row>
    <row r="15" spans="1:6" s="1" customFormat="1" ht="20.25">
      <c r="A15" s="70" t="s">
        <v>19</v>
      </c>
      <c r="B15" s="70"/>
      <c r="C15" s="38"/>
      <c r="D15" s="38"/>
      <c r="E15" s="36">
        <f>SUM($E12:$E14)</f>
        <v>27371.270099999972</v>
      </c>
      <c r="F15" s="37">
        <f>$E15/$E$17</f>
        <v>0.19163359732666818</v>
      </c>
    </row>
    <row r="16" spans="1:5" s="1" customFormat="1" ht="18.75">
      <c r="A16" s="18"/>
      <c r="B16" s="18"/>
      <c r="E16" s="2"/>
    </row>
    <row r="17" spans="1:6" s="1" customFormat="1" ht="20.25">
      <c r="A17" s="70" t="s">
        <v>20</v>
      </c>
      <c r="B17" s="70"/>
      <c r="C17" s="38"/>
      <c r="D17" s="38"/>
      <c r="E17" s="36">
        <f>SUM($E10,$E15)</f>
        <v>142831.27009999997</v>
      </c>
      <c r="F17" s="37">
        <f>SUM($F10,$F15)</f>
        <v>1</v>
      </c>
    </row>
    <row r="18" spans="1:5" s="1" customFormat="1" ht="18.75">
      <c r="A18" s="71" t="s">
        <v>33</v>
      </c>
      <c r="B18" s="71"/>
      <c r="C18" s="20"/>
      <c r="D18" s="20"/>
      <c r="E18" s="21">
        <f>13963-261</f>
        <v>13702</v>
      </c>
    </row>
    <row r="19" spans="1:8" s="1" customFormat="1" ht="21.75">
      <c r="A19" s="68" t="s">
        <v>34</v>
      </c>
      <c r="B19" s="68"/>
      <c r="C19" s="38"/>
      <c r="D19" s="38"/>
      <c r="E19" s="39">
        <f>E$17/E$18</f>
        <v>10.42411838417749</v>
      </c>
      <c r="F19" s="4"/>
      <c r="G19" s="6"/>
      <c r="H19" s="62"/>
    </row>
  </sheetData>
  <mergeCells count="9">
    <mergeCell ref="A1:G1"/>
    <mergeCell ref="A10:B10"/>
    <mergeCell ref="A12:B12"/>
    <mergeCell ref="A13:B13"/>
    <mergeCell ref="A19:B19"/>
    <mergeCell ref="A14:B14"/>
    <mergeCell ref="A15:B15"/>
    <mergeCell ref="A17:B17"/>
    <mergeCell ref="A18:B1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15" sqref="E15"/>
    </sheetView>
  </sheetViews>
  <sheetFormatPr defaultColWidth="9.140625" defaultRowHeight="21.75"/>
  <cols>
    <col min="1" max="1" width="10.7109375" style="0" customWidth="1"/>
    <col min="2" max="2" width="10.28125" style="0" customWidth="1"/>
    <col min="3" max="3" width="10.00390625" style="0" customWidth="1"/>
    <col min="4" max="4" width="11.140625" style="0" customWidth="1"/>
    <col min="5" max="5" width="12.57421875" style="0" customWidth="1"/>
    <col min="6" max="6" width="10.57421875" style="0" customWidth="1"/>
    <col min="7" max="7" width="13.00390625" style="0" customWidth="1"/>
  </cols>
  <sheetData>
    <row r="1" spans="1:7" s="8" customFormat="1" ht="21">
      <c r="A1" s="72" t="s">
        <v>126</v>
      </c>
      <c r="B1" s="72"/>
      <c r="C1" s="72"/>
      <c r="D1" s="72"/>
      <c r="E1" s="72"/>
      <c r="F1" s="72"/>
      <c r="G1" s="72"/>
    </row>
    <row r="2" spans="1:7" s="1" customFormat="1" ht="18.75">
      <c r="A2" s="34" t="s">
        <v>2</v>
      </c>
      <c r="B2" s="34" t="s">
        <v>4</v>
      </c>
      <c r="C2" s="34" t="s">
        <v>9</v>
      </c>
      <c r="D2" s="34" t="s">
        <v>10</v>
      </c>
      <c r="E2" s="34" t="s">
        <v>11</v>
      </c>
      <c r="F2" s="34" t="s">
        <v>12</v>
      </c>
      <c r="G2" s="34" t="s">
        <v>27</v>
      </c>
    </row>
    <row r="3" spans="1:7" s="1" customFormat="1" ht="18.75">
      <c r="A3" s="20" t="s">
        <v>32</v>
      </c>
      <c r="B3" s="21">
        <v>300</v>
      </c>
      <c r="C3" s="19">
        <f>-((-36.67*500)+(TRANSACTION!$H$36)+(TRANSACTION!$H$39)+(TRANSACTION!$H$42))/1800</f>
        <v>38.28778694444444</v>
      </c>
      <c r="D3" s="19">
        <v>38</v>
      </c>
      <c r="E3" s="19">
        <f>$B3*$D3</f>
        <v>11400</v>
      </c>
      <c r="F3" s="26">
        <f>$E3/$E$17</f>
        <v>0.07773472262875267</v>
      </c>
      <c r="G3" s="19">
        <f>$E3-($B3*$C3)</f>
        <v>-86.33608333333177</v>
      </c>
    </row>
    <row r="4" spans="1:7" s="1" customFormat="1" ht="18.75">
      <c r="A4" s="20" t="s">
        <v>118</v>
      </c>
      <c r="B4" s="21">
        <v>5000</v>
      </c>
      <c r="C4" s="64">
        <f>-(((TRANSACTION!H62/5000)*500)+SUM(TRANSACTION!H64:H65))/10500</f>
        <v>4.201352647619047</v>
      </c>
      <c r="D4" s="19">
        <v>4.9</v>
      </c>
      <c r="E4" s="19">
        <f>$B4*$D4</f>
        <v>24500</v>
      </c>
      <c r="F4" s="26">
        <f>$E4/$E$17</f>
        <v>0.16706146529863514</v>
      </c>
      <c r="G4" s="19">
        <f>$E4-($B4*$C4)</f>
        <v>3493.2367619047654</v>
      </c>
    </row>
    <row r="5" spans="1:7" s="1" customFormat="1" ht="18.75">
      <c r="A5" s="20" t="s">
        <v>30</v>
      </c>
      <c r="B5" s="21">
        <v>400</v>
      </c>
      <c r="C5" s="19">
        <v>27.59</v>
      </c>
      <c r="D5" s="19">
        <v>23.5</v>
      </c>
      <c r="E5" s="19">
        <f>$B5*$D5</f>
        <v>9400</v>
      </c>
      <c r="F5" s="26">
        <f>$E5/$E$17</f>
        <v>0.0640970519921294</v>
      </c>
      <c r="G5" s="19">
        <f>$E5-($B5*$C5)</f>
        <v>-1636</v>
      </c>
    </row>
    <row r="6" spans="1:9" s="1" customFormat="1" ht="18.75">
      <c r="A6" s="20"/>
      <c r="B6" s="21"/>
      <c r="C6" s="64"/>
      <c r="D6" s="19"/>
      <c r="E6" s="19"/>
      <c r="F6" s="26"/>
      <c r="G6" s="19"/>
      <c r="I6" s="7"/>
    </row>
    <row r="7" spans="1:7" s="1" customFormat="1" ht="18.75">
      <c r="A7" s="20"/>
      <c r="B7" s="21"/>
      <c r="C7" s="19"/>
      <c r="D7" s="19"/>
      <c r="E7" s="19"/>
      <c r="F7" s="26"/>
      <c r="G7" s="19"/>
    </row>
    <row r="8" spans="1:7" s="1" customFormat="1" ht="18.75">
      <c r="A8" s="20"/>
      <c r="B8" s="21"/>
      <c r="C8" s="19"/>
      <c r="D8" s="19"/>
      <c r="E8" s="19"/>
      <c r="F8" s="26"/>
      <c r="G8" s="19"/>
    </row>
    <row r="9" spans="1:7" s="1" customFormat="1" ht="20.25">
      <c r="A9" s="20"/>
      <c r="B9" s="21"/>
      <c r="C9" s="19"/>
      <c r="D9" s="19"/>
      <c r="E9" s="27"/>
      <c r="F9" s="26"/>
      <c r="G9" s="27"/>
    </row>
    <row r="10" spans="1:7" s="1" customFormat="1" ht="20.25">
      <c r="A10" s="73" t="s">
        <v>35</v>
      </c>
      <c r="B10" s="73"/>
      <c r="C10" s="35"/>
      <c r="D10" s="35"/>
      <c r="E10" s="36">
        <f>SUM($E3:$E9)</f>
        <v>45300</v>
      </c>
      <c r="F10" s="37">
        <f>SUM($F3:$F9)</f>
        <v>0.3088932399195172</v>
      </c>
      <c r="G10" s="27">
        <f>SUM($G3:$G9)</f>
        <v>1770.9006785714337</v>
      </c>
    </row>
    <row r="11" spans="2:7" s="1" customFormat="1" ht="18.75">
      <c r="B11" s="3"/>
      <c r="C11" s="2"/>
      <c r="D11" s="2"/>
      <c r="E11" s="2"/>
      <c r="F11" s="2"/>
      <c r="G11" s="2"/>
    </row>
    <row r="12" spans="1:7" s="1" customFormat="1" ht="18.75">
      <c r="A12" s="69" t="s">
        <v>17</v>
      </c>
      <c r="B12" s="69"/>
      <c r="C12" s="19"/>
      <c r="D12" s="19"/>
      <c r="E12" s="19">
        <v>27371.270099999972</v>
      </c>
      <c r="F12" s="2"/>
      <c r="G12" s="2"/>
    </row>
    <row r="13" spans="1:7" s="1" customFormat="1" ht="18.75">
      <c r="A13" s="69" t="s">
        <v>38</v>
      </c>
      <c r="B13" s="69"/>
      <c r="C13" s="19"/>
      <c r="D13" s="19"/>
      <c r="E13" s="19">
        <f>TRANSACTION!$H$74</f>
        <v>73981.34040000002</v>
      </c>
      <c r="F13" s="2"/>
      <c r="G13" s="2"/>
    </row>
    <row r="14" spans="1:7" s="1" customFormat="1" ht="18.75">
      <c r="A14" s="69" t="s">
        <v>78</v>
      </c>
      <c r="B14" s="69"/>
      <c r="C14" s="19"/>
      <c r="D14" s="19"/>
      <c r="E14" s="19">
        <v>0</v>
      </c>
      <c r="F14" s="2"/>
      <c r="G14" s="2"/>
    </row>
    <row r="15" spans="1:6" s="1" customFormat="1" ht="20.25">
      <c r="A15" s="70" t="s">
        <v>19</v>
      </c>
      <c r="B15" s="70"/>
      <c r="C15" s="38"/>
      <c r="D15" s="38"/>
      <c r="E15" s="36">
        <f>SUM($E12:$E14)</f>
        <v>101352.61049999998</v>
      </c>
      <c r="F15" s="37">
        <f>$E15/$E$17</f>
        <v>0.6911067600804828</v>
      </c>
    </row>
    <row r="16" spans="1:5" s="1" customFormat="1" ht="18.75">
      <c r="A16" s="18"/>
      <c r="B16" s="18"/>
      <c r="E16" s="2"/>
    </row>
    <row r="17" spans="1:6" s="1" customFormat="1" ht="20.25">
      <c r="A17" s="70" t="s">
        <v>20</v>
      </c>
      <c r="B17" s="70"/>
      <c r="C17" s="38"/>
      <c r="D17" s="38"/>
      <c r="E17" s="36">
        <f>SUM($E10,$E15)</f>
        <v>146652.61049999998</v>
      </c>
      <c r="F17" s="37">
        <f>SUM($F10,$F15)</f>
        <v>1</v>
      </c>
    </row>
    <row r="18" spans="1:5" s="1" customFormat="1" ht="18.75">
      <c r="A18" s="71" t="s">
        <v>33</v>
      </c>
      <c r="B18" s="71"/>
      <c r="C18" s="20"/>
      <c r="D18" s="20"/>
      <c r="E18" s="21">
        <f>13963-261</f>
        <v>13702</v>
      </c>
    </row>
    <row r="19" spans="1:8" s="1" customFormat="1" ht="21.75">
      <c r="A19" s="68" t="s">
        <v>34</v>
      </c>
      <c r="B19" s="68"/>
      <c r="C19" s="38"/>
      <c r="D19" s="38"/>
      <c r="E19" s="39">
        <f>E$17/E$18</f>
        <v>10.70300762662385</v>
      </c>
      <c r="F19" s="4"/>
      <c r="G19" s="6"/>
      <c r="H19" s="62"/>
    </row>
  </sheetData>
  <mergeCells count="9">
    <mergeCell ref="A19:B19"/>
    <mergeCell ref="A14:B14"/>
    <mergeCell ref="A15:B15"/>
    <mergeCell ref="A17:B17"/>
    <mergeCell ref="A18:B18"/>
    <mergeCell ref="A1:G1"/>
    <mergeCell ref="A10:B10"/>
    <mergeCell ref="A12:B12"/>
    <mergeCell ref="A13:B1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I19" sqref="I19"/>
    </sheetView>
  </sheetViews>
  <sheetFormatPr defaultColWidth="9.140625" defaultRowHeight="21.75"/>
  <cols>
    <col min="1" max="1" width="10.7109375" style="0" customWidth="1"/>
    <col min="2" max="2" width="10.28125" style="0" customWidth="1"/>
    <col min="3" max="3" width="10.00390625" style="0" customWidth="1"/>
    <col min="4" max="4" width="11.140625" style="0" customWidth="1"/>
    <col min="5" max="5" width="12.57421875" style="0" customWidth="1"/>
    <col min="6" max="6" width="10.57421875" style="0" customWidth="1"/>
    <col min="7" max="7" width="13.00390625" style="0" customWidth="1"/>
  </cols>
  <sheetData>
    <row r="1" spans="1:7" s="8" customFormat="1" ht="21">
      <c r="A1" s="72" t="s">
        <v>129</v>
      </c>
      <c r="B1" s="72"/>
      <c r="C1" s="72"/>
      <c r="D1" s="72"/>
      <c r="E1" s="72"/>
      <c r="F1" s="72"/>
      <c r="G1" s="72"/>
    </row>
    <row r="2" spans="1:7" s="1" customFormat="1" ht="18.75">
      <c r="A2" s="34" t="s">
        <v>2</v>
      </c>
      <c r="B2" s="34" t="s">
        <v>4</v>
      </c>
      <c r="C2" s="34" t="s">
        <v>9</v>
      </c>
      <c r="D2" s="34" t="s">
        <v>10</v>
      </c>
      <c r="E2" s="34" t="s">
        <v>11</v>
      </c>
      <c r="F2" s="34" t="s">
        <v>12</v>
      </c>
      <c r="G2" s="34" t="s">
        <v>27</v>
      </c>
    </row>
    <row r="3" spans="1:7" s="1" customFormat="1" ht="18.75">
      <c r="A3" s="20" t="s">
        <v>32</v>
      </c>
      <c r="B3" s="21">
        <v>300</v>
      </c>
      <c r="C3" s="19">
        <f>-((-36.67*500)+(TRANSACTION!$H$36)+(TRANSACTION!$H$39)+(TRANSACTION!$H$42))/1800</f>
        <v>38.28778694444444</v>
      </c>
      <c r="D3" s="19">
        <v>37.75</v>
      </c>
      <c r="E3" s="19">
        <f>$B3*$D3</f>
        <v>11325</v>
      </c>
      <c r="F3" s="26">
        <f>$E3/$E$17</f>
        <v>0.07719606585972441</v>
      </c>
      <c r="G3" s="19">
        <f>$E3-($B3*$C3)</f>
        <v>-161.33608333333177</v>
      </c>
    </row>
    <row r="4" spans="1:7" s="1" customFormat="1" ht="18.75">
      <c r="A4" s="20" t="s">
        <v>30</v>
      </c>
      <c r="B4" s="21">
        <v>400</v>
      </c>
      <c r="C4" s="19">
        <v>27.59</v>
      </c>
      <c r="D4" s="19">
        <v>23</v>
      </c>
      <c r="E4" s="19">
        <f>$B4*$D4</f>
        <v>9200</v>
      </c>
      <c r="F4" s="26">
        <f>$E4/$E$17</f>
        <v>0.06271115283968783</v>
      </c>
      <c r="G4" s="19">
        <f>$E4-($B4*$C4)</f>
        <v>-1836</v>
      </c>
    </row>
    <row r="5" spans="1:7" s="1" customFormat="1" ht="18.75">
      <c r="A5" s="20"/>
      <c r="B5" s="21"/>
      <c r="C5" s="19"/>
      <c r="D5" s="19"/>
      <c r="E5" s="19"/>
      <c r="F5" s="26"/>
      <c r="G5" s="19"/>
    </row>
    <row r="6" spans="1:9" s="1" customFormat="1" ht="18.75">
      <c r="A6" s="20"/>
      <c r="B6" s="21"/>
      <c r="C6" s="64"/>
      <c r="D6" s="19"/>
      <c r="E6" s="19"/>
      <c r="F6" s="26"/>
      <c r="G6" s="19"/>
      <c r="I6" s="7"/>
    </row>
    <row r="7" spans="1:7" s="1" customFormat="1" ht="18.75">
      <c r="A7" s="20"/>
      <c r="B7" s="21"/>
      <c r="C7" s="19"/>
      <c r="D7" s="19"/>
      <c r="E7" s="19"/>
      <c r="F7" s="26"/>
      <c r="G7" s="19"/>
    </row>
    <row r="8" spans="1:7" s="1" customFormat="1" ht="18.75">
      <c r="A8" s="20"/>
      <c r="B8" s="21"/>
      <c r="C8" s="19"/>
      <c r="D8" s="19"/>
      <c r="E8" s="19"/>
      <c r="F8" s="26"/>
      <c r="G8" s="19"/>
    </row>
    <row r="9" spans="1:7" s="1" customFormat="1" ht="20.25">
      <c r="A9" s="20"/>
      <c r="B9" s="21"/>
      <c r="C9" s="19"/>
      <c r="D9" s="19"/>
      <c r="E9" s="27"/>
      <c r="F9" s="26"/>
      <c r="G9" s="27"/>
    </row>
    <row r="10" spans="1:7" s="1" customFormat="1" ht="20.25">
      <c r="A10" s="73" t="s">
        <v>35</v>
      </c>
      <c r="B10" s="73"/>
      <c r="C10" s="35"/>
      <c r="D10" s="35"/>
      <c r="E10" s="36">
        <f>SUM($E3:$E9)</f>
        <v>20525</v>
      </c>
      <c r="F10" s="37">
        <f>SUM($F3:$F9)</f>
        <v>0.13990721869941225</v>
      </c>
      <c r="G10" s="27">
        <f>SUM($G3:$G9)</f>
        <v>-1997.3360833333318</v>
      </c>
    </row>
    <row r="11" spans="2:7" s="1" customFormat="1" ht="18.75">
      <c r="B11" s="3"/>
      <c r="C11" s="2"/>
      <c r="D11" s="2"/>
      <c r="E11" s="2"/>
      <c r="F11" s="2"/>
      <c r="G11" s="2"/>
    </row>
    <row r="12" spans="1:7" s="1" customFormat="1" ht="18.75">
      <c r="A12" s="69" t="s">
        <v>17</v>
      </c>
      <c r="B12" s="69"/>
      <c r="C12" s="19"/>
      <c r="D12" s="19"/>
      <c r="E12" s="19">
        <v>101352.61049999998</v>
      </c>
      <c r="F12" s="2"/>
      <c r="G12" s="2"/>
    </row>
    <row r="13" spans="1:7" s="1" customFormat="1" ht="18.75">
      <c r="A13" s="69" t="s">
        <v>38</v>
      </c>
      <c r="B13" s="69"/>
      <c r="C13" s="19"/>
      <c r="D13" s="19"/>
      <c r="E13" s="19">
        <f>TRANSACTION!$H$77</f>
        <v>24826.756800000003</v>
      </c>
      <c r="F13" s="2"/>
      <c r="G13" s="2"/>
    </row>
    <row r="14" spans="1:7" s="1" customFormat="1" ht="18.75">
      <c r="A14" s="69" t="s">
        <v>78</v>
      </c>
      <c r="B14" s="69"/>
      <c r="C14" s="19"/>
      <c r="D14" s="19"/>
      <c r="E14" s="19">
        <v>0</v>
      </c>
      <c r="F14" s="2"/>
      <c r="G14" s="2"/>
    </row>
    <row r="15" spans="1:6" s="1" customFormat="1" ht="20.25">
      <c r="A15" s="70" t="s">
        <v>19</v>
      </c>
      <c r="B15" s="70"/>
      <c r="C15" s="38"/>
      <c r="D15" s="38"/>
      <c r="E15" s="36">
        <f>SUM($E12:$E14)</f>
        <v>126179.36729999998</v>
      </c>
      <c r="F15" s="37">
        <f>$E15/$E$17</f>
        <v>0.8600927813005877</v>
      </c>
    </row>
    <row r="16" spans="1:5" s="1" customFormat="1" ht="18.75">
      <c r="A16" s="18"/>
      <c r="B16" s="18"/>
      <c r="E16" s="2"/>
    </row>
    <row r="17" spans="1:6" s="1" customFormat="1" ht="20.25">
      <c r="A17" s="70" t="s">
        <v>20</v>
      </c>
      <c r="B17" s="70"/>
      <c r="C17" s="38"/>
      <c r="D17" s="38"/>
      <c r="E17" s="36">
        <f>SUM($E10,$E15)</f>
        <v>146704.36729999998</v>
      </c>
      <c r="F17" s="37">
        <f>SUM($F10,$F15)</f>
        <v>1</v>
      </c>
    </row>
    <row r="18" spans="1:5" s="1" customFormat="1" ht="18.75">
      <c r="A18" s="71" t="s">
        <v>33</v>
      </c>
      <c r="B18" s="71"/>
      <c r="C18" s="20"/>
      <c r="D18" s="20"/>
      <c r="E18" s="21">
        <f>13963-261</f>
        <v>13702</v>
      </c>
    </row>
    <row r="19" spans="1:8" s="1" customFormat="1" ht="21.75">
      <c r="A19" s="68" t="s">
        <v>34</v>
      </c>
      <c r="B19" s="68"/>
      <c r="C19" s="38"/>
      <c r="D19" s="38"/>
      <c r="E19" s="39">
        <f>E$17/E$18</f>
        <v>10.706784943803823</v>
      </c>
      <c r="F19" s="4"/>
      <c r="G19" s="6"/>
      <c r="H19" s="62"/>
    </row>
  </sheetData>
  <mergeCells count="9">
    <mergeCell ref="A1:G1"/>
    <mergeCell ref="A10:B10"/>
    <mergeCell ref="A12:B12"/>
    <mergeCell ref="A13:B13"/>
    <mergeCell ref="A19:B19"/>
    <mergeCell ref="A14:B14"/>
    <mergeCell ref="A15:B15"/>
    <mergeCell ref="A17:B17"/>
    <mergeCell ref="A18:B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21" sqref="C21"/>
    </sheetView>
  </sheetViews>
  <sheetFormatPr defaultColWidth="9.140625" defaultRowHeight="21.75"/>
  <cols>
    <col min="1" max="1" width="10.7109375" style="0" customWidth="1"/>
    <col min="2" max="2" width="10.28125" style="0" customWidth="1"/>
    <col min="3" max="3" width="10.00390625" style="0" customWidth="1"/>
    <col min="4" max="4" width="11.140625" style="0" customWidth="1"/>
    <col min="5" max="5" width="12.57421875" style="0" customWidth="1"/>
    <col min="6" max="6" width="10.57421875" style="0" customWidth="1"/>
    <col min="7" max="7" width="13.00390625" style="0" customWidth="1"/>
  </cols>
  <sheetData>
    <row r="1" spans="1:7" s="8" customFormat="1" ht="21">
      <c r="A1" s="72" t="s">
        <v>81</v>
      </c>
      <c r="B1" s="72"/>
      <c r="C1" s="72"/>
      <c r="D1" s="72"/>
      <c r="E1" s="72"/>
      <c r="F1" s="72"/>
      <c r="G1" s="72"/>
    </row>
    <row r="2" spans="1:7" s="1" customFormat="1" ht="18.75">
      <c r="A2" s="34" t="s">
        <v>2</v>
      </c>
      <c r="B2" s="34" t="s">
        <v>4</v>
      </c>
      <c r="C2" s="34" t="s">
        <v>9</v>
      </c>
      <c r="D2" s="34" t="s">
        <v>10</v>
      </c>
      <c r="E2" s="34" t="s">
        <v>11</v>
      </c>
      <c r="F2" s="34" t="s">
        <v>12</v>
      </c>
      <c r="G2" s="34" t="s">
        <v>27</v>
      </c>
    </row>
    <row r="3" spans="1:7" s="1" customFormat="1" ht="18.75">
      <c r="A3" s="20" t="s">
        <v>32</v>
      </c>
      <c r="B3" s="21">
        <v>1800</v>
      </c>
      <c r="C3" s="19">
        <f>-((-36.67*500)+(TRANSACTION!$H$36)+(TRANSACTION!$H$39)+(TRANSACTION!$H$42))/1800</f>
        <v>38.28778694444444</v>
      </c>
      <c r="D3" s="19">
        <v>39.5</v>
      </c>
      <c r="E3" s="19">
        <f>$B3*$D3</f>
        <v>71100</v>
      </c>
      <c r="F3" s="26">
        <f>$E3/$E$17</f>
        <v>0.49578275232121427</v>
      </c>
      <c r="G3" s="19">
        <f>$E3-($B3*$C3)</f>
        <v>2181.983500000002</v>
      </c>
    </row>
    <row r="4" spans="1:7" s="1" customFormat="1" ht="18.75">
      <c r="A4" s="20" t="s">
        <v>30</v>
      </c>
      <c r="B4" s="21">
        <v>1000</v>
      </c>
      <c r="C4" s="19">
        <v>27.59</v>
      </c>
      <c r="D4" s="19">
        <v>22.5</v>
      </c>
      <c r="E4" s="19">
        <f>$B4*$D4</f>
        <v>22500</v>
      </c>
      <c r="F4" s="26">
        <f>$E4/$E$17</f>
        <v>0.15689327605101716</v>
      </c>
      <c r="G4" s="19">
        <f>$E4-($B4*$C4)</f>
        <v>-5090</v>
      </c>
    </row>
    <row r="5" spans="1:7" s="1" customFormat="1" ht="18.75">
      <c r="A5" s="20"/>
      <c r="B5" s="21"/>
      <c r="C5" s="19"/>
      <c r="D5" s="19"/>
      <c r="E5" s="19"/>
      <c r="F5" s="26"/>
      <c r="G5" s="19"/>
    </row>
    <row r="6" spans="1:9" s="1" customFormat="1" ht="18.75">
      <c r="A6" s="33"/>
      <c r="B6" s="33"/>
      <c r="C6" s="61"/>
      <c r="D6" s="33"/>
      <c r="E6" s="33"/>
      <c r="F6" s="33"/>
      <c r="G6" s="33"/>
      <c r="I6" s="7"/>
    </row>
    <row r="7" spans="1:7" s="1" customFormat="1" ht="18.75">
      <c r="A7" s="20"/>
      <c r="B7" s="21"/>
      <c r="C7" s="19"/>
      <c r="D7" s="19"/>
      <c r="E7" s="19"/>
      <c r="F7" s="26"/>
      <c r="G7" s="19"/>
    </row>
    <row r="8" spans="1:7" s="1" customFormat="1" ht="18.75">
      <c r="A8" s="33"/>
      <c r="B8" s="33"/>
      <c r="C8" s="33"/>
      <c r="D8" s="33"/>
      <c r="E8" s="33"/>
      <c r="F8" s="33"/>
      <c r="G8" s="33"/>
    </row>
    <row r="9" spans="1:7" s="1" customFormat="1" ht="20.25">
      <c r="A9" s="20"/>
      <c r="B9" s="21"/>
      <c r="C9" s="19"/>
      <c r="D9" s="19"/>
      <c r="E9" s="27"/>
      <c r="F9" s="26"/>
      <c r="G9" s="27"/>
    </row>
    <row r="10" spans="1:7" s="1" customFormat="1" ht="20.25">
      <c r="A10" s="73" t="s">
        <v>35</v>
      </c>
      <c r="B10" s="73"/>
      <c r="C10" s="35"/>
      <c r="D10" s="35"/>
      <c r="E10" s="36">
        <f>SUM($E3:$E9)</f>
        <v>93600</v>
      </c>
      <c r="F10" s="37">
        <f>SUM($F3:$F9)</f>
        <v>0.6526760283722315</v>
      </c>
      <c r="G10" s="27">
        <f>SUM($G3:$G9)</f>
        <v>-2908.016499999998</v>
      </c>
    </row>
    <row r="11" spans="2:7" s="1" customFormat="1" ht="18.75">
      <c r="B11" s="3"/>
      <c r="C11" s="2"/>
      <c r="D11" s="2"/>
      <c r="E11" s="2"/>
      <c r="F11" s="2"/>
      <c r="G11" s="2"/>
    </row>
    <row r="12" spans="1:7" s="1" customFormat="1" ht="18.75">
      <c r="A12" s="69" t="s">
        <v>17</v>
      </c>
      <c r="B12" s="69"/>
      <c r="C12" s="19"/>
      <c r="D12" s="19"/>
      <c r="E12" s="19">
        <v>49809.587499999994</v>
      </c>
      <c r="F12" s="2"/>
      <c r="G12" s="2"/>
    </row>
    <row r="13" spans="1:7" s="1" customFormat="1" ht="18.75">
      <c r="A13" s="69" t="s">
        <v>14</v>
      </c>
      <c r="B13" s="69"/>
      <c r="C13" s="19"/>
      <c r="D13" s="19"/>
      <c r="E13" s="19">
        <v>0</v>
      </c>
      <c r="F13" s="2"/>
      <c r="G13" s="2"/>
    </row>
    <row r="14" spans="1:7" s="1" customFormat="1" ht="18.75">
      <c r="A14" s="69" t="s">
        <v>78</v>
      </c>
      <c r="B14" s="69"/>
      <c r="C14" s="19"/>
      <c r="D14" s="19"/>
      <c r="E14" s="19">
        <v>0</v>
      </c>
      <c r="F14" s="2"/>
      <c r="G14" s="2"/>
    </row>
    <row r="15" spans="1:6" s="1" customFormat="1" ht="20.25">
      <c r="A15" s="70" t="s">
        <v>19</v>
      </c>
      <c r="B15" s="70"/>
      <c r="C15" s="38"/>
      <c r="D15" s="38"/>
      <c r="E15" s="36">
        <f>SUM($E12:$E14)</f>
        <v>49809.587499999994</v>
      </c>
      <c r="F15" s="37">
        <f>$E15/$E$17</f>
        <v>0.34732397162776857</v>
      </c>
    </row>
    <row r="16" spans="1:5" s="1" customFormat="1" ht="18.75">
      <c r="A16" s="18"/>
      <c r="B16" s="18"/>
      <c r="E16" s="2"/>
    </row>
    <row r="17" spans="1:6" s="1" customFormat="1" ht="20.25">
      <c r="A17" s="70" t="s">
        <v>20</v>
      </c>
      <c r="B17" s="70"/>
      <c r="C17" s="38"/>
      <c r="D17" s="38"/>
      <c r="E17" s="36">
        <f>SUM($E10,$E15)</f>
        <v>143409.5875</v>
      </c>
      <c r="F17" s="37">
        <f>SUM($F10,$F15)</f>
        <v>1</v>
      </c>
    </row>
    <row r="18" spans="1:5" s="1" customFormat="1" ht="18.75">
      <c r="A18" s="71" t="s">
        <v>33</v>
      </c>
      <c r="B18" s="71"/>
      <c r="C18" s="20"/>
      <c r="D18" s="20"/>
      <c r="E18" s="21">
        <v>13963</v>
      </c>
    </row>
    <row r="19" spans="1:8" s="1" customFormat="1" ht="21.75">
      <c r="A19" s="68" t="s">
        <v>34</v>
      </c>
      <c r="B19" s="68"/>
      <c r="C19" s="38"/>
      <c r="D19" s="38"/>
      <c r="E19" s="39">
        <f>E$17/E$18</f>
        <v>10.270685919931246</v>
      </c>
      <c r="F19" s="4"/>
      <c r="G19" s="6"/>
      <c r="H19" s="62"/>
    </row>
  </sheetData>
  <mergeCells count="9">
    <mergeCell ref="A1:G1"/>
    <mergeCell ref="A10:B10"/>
    <mergeCell ref="A12:B12"/>
    <mergeCell ref="A13:B13"/>
    <mergeCell ref="A19:B19"/>
    <mergeCell ref="A14:B14"/>
    <mergeCell ref="A15:B15"/>
    <mergeCell ref="A17:B17"/>
    <mergeCell ref="A18:B1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pane xSplit="9" ySplit="2" topLeftCell="J39" activePane="bottomRight" state="frozen"/>
      <selection pane="topLeft" activeCell="A1" sqref="A1"/>
      <selection pane="topRight" activeCell="J1" sqref="J1"/>
      <selection pane="bottomLeft" activeCell="A3" sqref="A3"/>
      <selection pane="bottomRight" activeCell="I51" sqref="I51"/>
    </sheetView>
  </sheetViews>
  <sheetFormatPr defaultColWidth="9.140625" defaultRowHeight="21.75"/>
  <cols>
    <col min="1" max="1" width="6.57421875" style="24" customWidth="1"/>
    <col min="2" max="2" width="7.57421875" style="17" customWidth="1"/>
    <col min="3" max="3" width="8.140625" style="1" customWidth="1"/>
    <col min="4" max="4" width="8.00390625" style="10" customWidth="1"/>
    <col min="5" max="5" width="19.8515625" style="23" customWidth="1"/>
    <col min="6" max="6" width="7.7109375" style="5" customWidth="1"/>
    <col min="7" max="7" width="7.57421875" style="2" customWidth="1"/>
    <col min="8" max="8" width="7.7109375" style="10" customWidth="1"/>
    <col min="9" max="9" width="20.28125" style="23" customWidth="1"/>
    <col min="10" max="16384" width="9.140625" style="1" customWidth="1"/>
  </cols>
  <sheetData>
    <row r="1" spans="1:9" ht="21.75" thickBot="1">
      <c r="A1" s="74" t="s">
        <v>21</v>
      </c>
      <c r="B1" s="75"/>
      <c r="C1" s="75"/>
      <c r="D1" s="75"/>
      <c r="E1" s="75"/>
      <c r="F1" s="75"/>
      <c r="G1" s="75"/>
      <c r="H1" s="75"/>
      <c r="I1" s="76"/>
    </row>
    <row r="2" spans="1:9" s="25" customFormat="1" ht="22.5" customHeight="1" thickBot="1">
      <c r="A2" s="40" t="s">
        <v>0</v>
      </c>
      <c r="B2" s="41" t="s">
        <v>15</v>
      </c>
      <c r="C2" s="42" t="s">
        <v>22</v>
      </c>
      <c r="D2" s="43" t="s">
        <v>23</v>
      </c>
      <c r="E2" s="43" t="s">
        <v>26</v>
      </c>
      <c r="F2" s="44" t="s">
        <v>24</v>
      </c>
      <c r="G2" s="44" t="s">
        <v>22</v>
      </c>
      <c r="H2" s="45" t="s">
        <v>23</v>
      </c>
      <c r="I2" s="45" t="s">
        <v>26</v>
      </c>
    </row>
    <row r="3" spans="1:9" ht="18.75">
      <c r="A3" s="24" t="s">
        <v>28</v>
      </c>
      <c r="B3" s="17">
        <v>10.127806642857143</v>
      </c>
      <c r="C3" s="49">
        <v>0</v>
      </c>
      <c r="D3" s="11">
        <v>0</v>
      </c>
      <c r="E3" s="22">
        <v>0</v>
      </c>
      <c r="F3" s="5">
        <v>344.28</v>
      </c>
      <c r="G3" s="2">
        <v>0</v>
      </c>
      <c r="H3" s="11">
        <v>0</v>
      </c>
      <c r="I3" s="22">
        <v>0</v>
      </c>
    </row>
    <row r="4" spans="1:9" ht="18.75">
      <c r="A4" s="24" t="s">
        <v>25</v>
      </c>
      <c r="B4" s="17">
        <v>10.295216678571428</v>
      </c>
      <c r="C4" s="7">
        <f aca="true" t="shared" si="0" ref="C4:C49">$B4-$B3</f>
        <v>0.16741003571428514</v>
      </c>
      <c r="D4" s="10">
        <f aca="true" t="shared" si="1" ref="D4:D49">$C4/$B3</f>
        <v>0.0165297424820363</v>
      </c>
      <c r="E4" s="23">
        <f aca="true" t="shared" si="2" ref="E4:E49">$E3+$D4</f>
        <v>0.0165297424820363</v>
      </c>
      <c r="F4" s="5">
        <v>346.21</v>
      </c>
      <c r="G4" s="2">
        <f aca="true" t="shared" si="3" ref="G4:G49">$F4-$F3</f>
        <v>1.9300000000000068</v>
      </c>
      <c r="H4" s="10">
        <f aca="true" t="shared" si="4" ref="H4:H49">$G4/$F3</f>
        <v>0.005605902172650189</v>
      </c>
      <c r="I4" s="23">
        <f aca="true" t="shared" si="5" ref="I4:I49">$I3+$H4</f>
        <v>0.005605902172650189</v>
      </c>
    </row>
    <row r="5" spans="1:9" ht="18.75">
      <c r="A5" s="24" t="s">
        <v>39</v>
      </c>
      <c r="B5" s="17">
        <v>10.529749142857144</v>
      </c>
      <c r="C5" s="7">
        <f t="shared" si="0"/>
        <v>0.2345324642857154</v>
      </c>
      <c r="D5" s="10">
        <f t="shared" si="1"/>
        <v>0.022780721533901635</v>
      </c>
      <c r="E5" s="23">
        <f t="shared" si="2"/>
        <v>0.039310464015937935</v>
      </c>
      <c r="F5" s="5">
        <v>346.59</v>
      </c>
      <c r="G5" s="2">
        <f t="shared" si="3"/>
        <v>0.37999999999999545</v>
      </c>
      <c r="H5" s="10">
        <f t="shared" si="4"/>
        <v>0.0010975997227116359</v>
      </c>
      <c r="I5" s="23">
        <f t="shared" si="5"/>
        <v>0.006703501895361824</v>
      </c>
    </row>
    <row r="6" spans="1:9" s="54" customFormat="1" ht="18.75">
      <c r="A6" s="51" t="s">
        <v>41</v>
      </c>
      <c r="B6" s="52">
        <v>10.640004857142857</v>
      </c>
      <c r="C6" s="7">
        <f t="shared" si="0"/>
        <v>0.11025571428571368</v>
      </c>
      <c r="D6" s="10">
        <f t="shared" si="1"/>
        <v>0.010470877585958983</v>
      </c>
      <c r="E6" s="23">
        <f t="shared" si="2"/>
        <v>0.049781341601896914</v>
      </c>
      <c r="F6" s="53">
        <v>348.46</v>
      </c>
      <c r="G6" s="2">
        <f t="shared" si="3"/>
        <v>1.8700000000000045</v>
      </c>
      <c r="H6" s="10">
        <f t="shared" si="4"/>
        <v>0.005395423987997359</v>
      </c>
      <c r="I6" s="23">
        <f t="shared" si="5"/>
        <v>0.012098925883359184</v>
      </c>
    </row>
    <row r="7" spans="1:9" ht="18.75">
      <c r="A7" s="24" t="s">
        <v>43</v>
      </c>
      <c r="B7" s="17">
        <v>10.759629714285714</v>
      </c>
      <c r="C7" s="7">
        <f t="shared" si="0"/>
        <v>0.1196248571428562</v>
      </c>
      <c r="D7" s="10">
        <f t="shared" si="1"/>
        <v>0.011242932569015656</v>
      </c>
      <c r="E7" s="23">
        <f t="shared" si="2"/>
        <v>0.06102427417091257</v>
      </c>
      <c r="F7" s="5">
        <v>357.42</v>
      </c>
      <c r="G7" s="2">
        <f t="shared" si="3"/>
        <v>8.960000000000036</v>
      </c>
      <c r="H7" s="10">
        <f t="shared" si="4"/>
        <v>0.025713137806348037</v>
      </c>
      <c r="I7" s="23">
        <f t="shared" si="5"/>
        <v>0.03781206368970722</v>
      </c>
    </row>
    <row r="8" spans="1:9" ht="18.75">
      <c r="A8" s="51" t="s">
        <v>45</v>
      </c>
      <c r="B8" s="52">
        <v>10.71989417857143</v>
      </c>
      <c r="C8" s="7">
        <f t="shared" si="0"/>
        <v>-0.0397355357142839</v>
      </c>
      <c r="D8" s="10">
        <f t="shared" si="1"/>
        <v>-0.0036930207422962206</v>
      </c>
      <c r="E8" s="23">
        <f t="shared" si="2"/>
        <v>0.05733125342861635</v>
      </c>
      <c r="F8" s="53">
        <v>353.95</v>
      </c>
      <c r="G8" s="2">
        <f t="shared" si="3"/>
        <v>-3.4700000000000273</v>
      </c>
      <c r="H8" s="10">
        <f t="shared" si="4"/>
        <v>-0.009708466230205437</v>
      </c>
      <c r="I8" s="23">
        <f t="shared" si="5"/>
        <v>0.028103597459501785</v>
      </c>
    </row>
    <row r="9" spans="1:9" ht="18.75">
      <c r="A9" s="51" t="s">
        <v>46</v>
      </c>
      <c r="B9" s="52">
        <v>10.748465607142858</v>
      </c>
      <c r="C9" s="7">
        <f t="shared" si="0"/>
        <v>0.02857142857142847</v>
      </c>
      <c r="D9" s="10">
        <f t="shared" si="1"/>
        <v>0.002665271512524949</v>
      </c>
      <c r="E9" s="23">
        <f t="shared" si="2"/>
        <v>0.0599965249411413</v>
      </c>
      <c r="F9" s="53">
        <v>355</v>
      </c>
      <c r="G9" s="2">
        <f t="shared" si="3"/>
        <v>1.0500000000000114</v>
      </c>
      <c r="H9" s="10">
        <f t="shared" si="4"/>
        <v>0.002966520695013452</v>
      </c>
      <c r="I9" s="23">
        <f t="shared" si="5"/>
        <v>0.031070118154515238</v>
      </c>
    </row>
    <row r="10" spans="1:9" ht="18.75">
      <c r="A10" s="51" t="s">
        <v>47</v>
      </c>
      <c r="B10" s="52">
        <v>10.780608464285715</v>
      </c>
      <c r="C10" s="7">
        <f t="shared" si="0"/>
        <v>0.032142857142856585</v>
      </c>
      <c r="D10" s="10">
        <f t="shared" si="1"/>
        <v>0.0029904600635737395</v>
      </c>
      <c r="E10" s="23">
        <f t="shared" si="2"/>
        <v>0.06298698500471504</v>
      </c>
      <c r="F10" s="53">
        <v>357.22</v>
      </c>
      <c r="G10" s="2">
        <f t="shared" si="3"/>
        <v>2.2200000000000273</v>
      </c>
      <c r="H10" s="10">
        <f t="shared" si="4"/>
        <v>0.00625352112676064</v>
      </c>
      <c r="I10" s="23">
        <f t="shared" si="5"/>
        <v>0.037323639281275876</v>
      </c>
    </row>
    <row r="11" spans="1:9" ht="18.75">
      <c r="A11" s="24" t="s">
        <v>48</v>
      </c>
      <c r="B11" s="17">
        <v>10.987751321428572</v>
      </c>
      <c r="C11" s="7">
        <f t="shared" si="0"/>
        <v>0.2071428571428573</v>
      </c>
      <c r="D11" s="10">
        <f t="shared" si="1"/>
        <v>0.01921439386553047</v>
      </c>
      <c r="E11" s="23">
        <f t="shared" si="2"/>
        <v>0.0822013788702455</v>
      </c>
      <c r="F11" s="5">
        <v>357.68</v>
      </c>
      <c r="G11" s="2">
        <f t="shared" si="3"/>
        <v>0.45999999999997954</v>
      </c>
      <c r="H11" s="10">
        <f t="shared" si="4"/>
        <v>0.0012877218520798933</v>
      </c>
      <c r="I11" s="23">
        <f t="shared" si="5"/>
        <v>0.03861136113335577</v>
      </c>
    </row>
    <row r="12" spans="1:9" ht="18.75">
      <c r="A12" s="51" t="s">
        <v>50</v>
      </c>
      <c r="B12" s="52">
        <v>10.891769357142858</v>
      </c>
      <c r="C12" s="7">
        <f t="shared" si="0"/>
        <v>-0.09598196428571448</v>
      </c>
      <c r="D12" s="10">
        <f t="shared" si="1"/>
        <v>-0.008735360082142393</v>
      </c>
      <c r="E12" s="23">
        <f t="shared" si="2"/>
        <v>0.07346601878810312</v>
      </c>
      <c r="F12" s="53">
        <v>358.8</v>
      </c>
      <c r="G12" s="2">
        <f t="shared" si="3"/>
        <v>1.1200000000000045</v>
      </c>
      <c r="H12" s="10">
        <f t="shared" si="4"/>
        <v>0.0031312905390293126</v>
      </c>
      <c r="I12" s="23">
        <f t="shared" si="5"/>
        <v>0.041742651672385084</v>
      </c>
    </row>
    <row r="13" spans="1:9" s="54" customFormat="1" ht="18.75">
      <c r="A13" s="51" t="s">
        <v>51</v>
      </c>
      <c r="B13" s="52">
        <v>10.556055071428572</v>
      </c>
      <c r="C13" s="7">
        <f t="shared" si="0"/>
        <v>-0.3357142857142854</v>
      </c>
      <c r="D13" s="10">
        <f t="shared" si="1"/>
        <v>-0.030822750161719398</v>
      </c>
      <c r="E13" s="23">
        <f t="shared" si="2"/>
        <v>0.04264326862638372</v>
      </c>
      <c r="F13" s="53">
        <v>355.77</v>
      </c>
      <c r="G13" s="2">
        <f t="shared" si="3"/>
        <v>-3.0300000000000296</v>
      </c>
      <c r="H13" s="10">
        <f t="shared" si="4"/>
        <v>-0.008444816053511788</v>
      </c>
      <c r="I13" s="23">
        <f t="shared" si="5"/>
        <v>0.0332978356188733</v>
      </c>
    </row>
    <row r="14" spans="1:9" s="54" customFormat="1" ht="18.75">
      <c r="A14" s="51" t="s">
        <v>52</v>
      </c>
      <c r="B14" s="52">
        <v>10.524199433962265</v>
      </c>
      <c r="C14" s="7">
        <f t="shared" si="0"/>
        <v>-0.031855637466307485</v>
      </c>
      <c r="D14" s="10">
        <f t="shared" si="1"/>
        <v>-0.003017759688705034</v>
      </c>
      <c r="E14" s="23">
        <f t="shared" si="2"/>
        <v>0.03962550893767869</v>
      </c>
      <c r="F14" s="53">
        <v>353.8</v>
      </c>
      <c r="G14" s="2">
        <f t="shared" si="3"/>
        <v>-1.9699999999999704</v>
      </c>
      <c r="H14" s="10">
        <f t="shared" si="4"/>
        <v>-0.005537285324788404</v>
      </c>
      <c r="I14" s="23">
        <f t="shared" si="5"/>
        <v>0.027760550294084894</v>
      </c>
    </row>
    <row r="15" spans="1:9" s="54" customFormat="1" ht="18.75">
      <c r="A15" s="51" t="s">
        <v>53</v>
      </c>
      <c r="B15" s="52">
        <v>10.646840943396226</v>
      </c>
      <c r="C15" s="7">
        <f t="shared" si="0"/>
        <v>0.12264150943396146</v>
      </c>
      <c r="D15" s="10">
        <f t="shared" si="1"/>
        <v>0.011653286333418337</v>
      </c>
      <c r="E15" s="23">
        <f t="shared" si="2"/>
        <v>0.05127879527109702</v>
      </c>
      <c r="F15" s="53">
        <v>357.46</v>
      </c>
      <c r="G15" s="2">
        <f t="shared" si="3"/>
        <v>3.659999999999968</v>
      </c>
      <c r="H15" s="10">
        <f t="shared" si="4"/>
        <v>0.010344827586206806</v>
      </c>
      <c r="I15" s="23">
        <f t="shared" si="5"/>
        <v>0.038105377880291696</v>
      </c>
    </row>
    <row r="16" spans="1:9" s="54" customFormat="1" ht="18.75">
      <c r="A16" s="51" t="s">
        <v>55</v>
      </c>
      <c r="B16" s="52">
        <v>10.616537012578616</v>
      </c>
      <c r="C16" s="7">
        <f t="shared" si="0"/>
        <v>-0.030303930817609626</v>
      </c>
      <c r="D16" s="10">
        <f t="shared" si="1"/>
        <v>-0.0028462837924150487</v>
      </c>
      <c r="E16" s="23">
        <f t="shared" si="2"/>
        <v>0.048432511478681974</v>
      </c>
      <c r="F16" s="53">
        <v>355</v>
      </c>
      <c r="G16" s="2">
        <f t="shared" si="3"/>
        <v>-2.4599999999999795</v>
      </c>
      <c r="H16" s="10">
        <f t="shared" si="4"/>
        <v>-0.00688188888267213</v>
      </c>
      <c r="I16" s="23">
        <f t="shared" si="5"/>
        <v>0.031223488997619567</v>
      </c>
    </row>
    <row r="17" spans="1:9" ht="18.75">
      <c r="A17" s="24" t="s">
        <v>57</v>
      </c>
      <c r="B17" s="17">
        <v>10.659580628930817</v>
      </c>
      <c r="C17" s="7">
        <f t="shared" si="0"/>
        <v>0.04304361635220033</v>
      </c>
      <c r="D17" s="10">
        <f t="shared" si="1"/>
        <v>0.004054393282969924</v>
      </c>
      <c r="E17" s="23">
        <f t="shared" si="2"/>
        <v>0.052486904761651895</v>
      </c>
      <c r="F17" s="5">
        <v>350.36</v>
      </c>
      <c r="G17" s="2">
        <f t="shared" si="3"/>
        <v>-4.639999999999986</v>
      </c>
      <c r="H17" s="10">
        <f t="shared" si="4"/>
        <v>-0.01307042253521123</v>
      </c>
      <c r="I17" s="23">
        <f t="shared" si="5"/>
        <v>0.018153066462408336</v>
      </c>
    </row>
    <row r="18" spans="1:9" ht="18.75">
      <c r="A18" s="24" t="s">
        <v>59</v>
      </c>
      <c r="B18" s="17">
        <v>10.467873081761006</v>
      </c>
      <c r="C18" s="7">
        <f t="shared" si="0"/>
        <v>-0.19170754716981087</v>
      </c>
      <c r="D18" s="10">
        <f t="shared" si="1"/>
        <v>-0.017984529958852576</v>
      </c>
      <c r="E18" s="23">
        <f t="shared" si="2"/>
        <v>0.034502374802799315</v>
      </c>
      <c r="F18" s="5">
        <v>345.07</v>
      </c>
      <c r="G18" s="2">
        <f t="shared" si="3"/>
        <v>-5.2900000000000205</v>
      </c>
      <c r="H18" s="10">
        <f t="shared" si="4"/>
        <v>-0.015098755565703906</v>
      </c>
      <c r="I18" s="23">
        <f t="shared" si="5"/>
        <v>0.0030543108967044305</v>
      </c>
    </row>
    <row r="19" spans="1:9" s="54" customFormat="1" ht="18.75">
      <c r="A19" s="51" t="s">
        <v>60</v>
      </c>
      <c r="B19" s="52">
        <v>10.455294465408805</v>
      </c>
      <c r="C19" s="57">
        <f t="shared" si="0"/>
        <v>-0.012578616352200811</v>
      </c>
      <c r="D19" s="58">
        <f t="shared" si="1"/>
        <v>-0.0012016401282240914</v>
      </c>
      <c r="E19" s="59">
        <f t="shared" si="2"/>
        <v>0.03330073467457523</v>
      </c>
      <c r="F19" s="53">
        <v>343.67</v>
      </c>
      <c r="G19" s="60">
        <f t="shared" si="3"/>
        <v>-1.3999999999999773</v>
      </c>
      <c r="H19" s="58">
        <f t="shared" si="4"/>
        <v>-0.004057147825078903</v>
      </c>
      <c r="I19" s="59">
        <f t="shared" si="5"/>
        <v>-0.0010028369283744728</v>
      </c>
    </row>
    <row r="20" spans="1:9" ht="18.75">
      <c r="A20" s="24" t="s">
        <v>61</v>
      </c>
      <c r="B20" s="17">
        <v>10.417558616352201</v>
      </c>
      <c r="C20" s="57">
        <f t="shared" si="0"/>
        <v>-0.03773584905660421</v>
      </c>
      <c r="D20" s="58">
        <f t="shared" si="1"/>
        <v>-0.0036092574132132516</v>
      </c>
      <c r="E20" s="59">
        <f t="shared" si="2"/>
        <v>0.029691477261361975</v>
      </c>
      <c r="F20" s="5">
        <v>348.95</v>
      </c>
      <c r="G20" s="60">
        <f t="shared" si="3"/>
        <v>5.279999999999973</v>
      </c>
      <c r="H20" s="58">
        <f t="shared" si="4"/>
        <v>0.015363575523030734</v>
      </c>
      <c r="I20" s="59">
        <f t="shared" si="5"/>
        <v>0.014360738594656261</v>
      </c>
    </row>
    <row r="21" spans="1:9" s="54" customFormat="1" ht="18.75">
      <c r="A21" s="51" t="s">
        <v>63</v>
      </c>
      <c r="B21" s="52">
        <v>10.114812389937107</v>
      </c>
      <c r="C21" s="57">
        <f t="shared" si="0"/>
        <v>-0.30274622641509374</v>
      </c>
      <c r="D21" s="58">
        <f t="shared" si="1"/>
        <v>-0.02906114931188196</v>
      </c>
      <c r="E21" s="59">
        <f t="shared" si="2"/>
        <v>0.0006303279494800154</v>
      </c>
      <c r="F21" s="53">
        <v>356.24</v>
      </c>
      <c r="G21" s="60">
        <f t="shared" si="3"/>
        <v>7.2900000000000205</v>
      </c>
      <c r="H21" s="58">
        <f t="shared" si="4"/>
        <v>0.02089124516406368</v>
      </c>
      <c r="I21" s="59">
        <f t="shared" si="5"/>
        <v>0.03525198375871994</v>
      </c>
    </row>
    <row r="22" spans="1:9" ht="18.75">
      <c r="A22" s="24" t="s">
        <v>65</v>
      </c>
      <c r="B22" s="17">
        <v>10.156026540880502</v>
      </c>
      <c r="C22" s="57">
        <f t="shared" si="0"/>
        <v>0.041214150943394756</v>
      </c>
      <c r="D22" s="58">
        <f t="shared" si="1"/>
        <v>0.004074633256114305</v>
      </c>
      <c r="E22" s="59">
        <f t="shared" si="2"/>
        <v>0.004704961205594321</v>
      </c>
      <c r="F22" s="5">
        <v>357.1</v>
      </c>
      <c r="G22" s="60">
        <f t="shared" si="3"/>
        <v>0.8600000000000136</v>
      </c>
      <c r="H22" s="58">
        <f t="shared" si="4"/>
        <v>0.002414102852009919</v>
      </c>
      <c r="I22" s="59">
        <f t="shared" si="5"/>
        <v>0.037666086610729864</v>
      </c>
    </row>
    <row r="23" spans="1:9" ht="18.75">
      <c r="A23" s="24" t="s">
        <v>66</v>
      </c>
      <c r="B23" s="17">
        <v>9.992971792452831</v>
      </c>
      <c r="C23" s="57">
        <f t="shared" si="0"/>
        <v>-0.16305474842767076</v>
      </c>
      <c r="D23" s="58">
        <f t="shared" si="1"/>
        <v>-0.01605497462726543</v>
      </c>
      <c r="E23" s="59">
        <f t="shared" si="2"/>
        <v>-0.01135001342167111</v>
      </c>
      <c r="F23" s="5">
        <v>353.62</v>
      </c>
      <c r="G23" s="60">
        <f t="shared" si="3"/>
        <v>-3.480000000000018</v>
      </c>
      <c r="H23" s="58">
        <f t="shared" si="4"/>
        <v>-0.00974516942033049</v>
      </c>
      <c r="I23" s="59">
        <f t="shared" si="5"/>
        <v>0.027920917190399373</v>
      </c>
    </row>
    <row r="24" spans="1:9" ht="18.75">
      <c r="A24" s="24" t="s">
        <v>70</v>
      </c>
      <c r="B24" s="17">
        <v>10.082594433962266</v>
      </c>
      <c r="C24" s="57">
        <f t="shared" si="0"/>
        <v>0.08962264150943433</v>
      </c>
      <c r="D24" s="58">
        <f t="shared" si="1"/>
        <v>0.00896856744628476</v>
      </c>
      <c r="E24" s="59">
        <f t="shared" si="2"/>
        <v>-0.002381445975386351</v>
      </c>
      <c r="F24" s="5">
        <v>352.18</v>
      </c>
      <c r="G24" s="60">
        <f t="shared" si="3"/>
        <v>-1.4399999999999977</v>
      </c>
      <c r="H24" s="58">
        <f t="shared" si="4"/>
        <v>-0.004072167863808602</v>
      </c>
      <c r="I24" s="59">
        <f t="shared" si="5"/>
        <v>0.02384874932659077</v>
      </c>
    </row>
    <row r="25" spans="1:9" ht="18.75">
      <c r="A25" s="24" t="s">
        <v>71</v>
      </c>
      <c r="B25" s="17">
        <v>10.130088475986048</v>
      </c>
      <c r="C25" s="57">
        <f t="shared" si="0"/>
        <v>0.04749404202378216</v>
      </c>
      <c r="D25" s="58">
        <f t="shared" si="1"/>
        <v>0.004710498109871698</v>
      </c>
      <c r="E25" s="59">
        <f t="shared" si="2"/>
        <v>0.002329052134485347</v>
      </c>
      <c r="F25" s="5">
        <v>358.44</v>
      </c>
      <c r="G25" s="60">
        <f t="shared" si="3"/>
        <v>6.259999999999991</v>
      </c>
      <c r="H25" s="58">
        <f t="shared" si="4"/>
        <v>0.01777500141972852</v>
      </c>
      <c r="I25" s="59">
        <f t="shared" si="5"/>
        <v>0.04162375074631929</v>
      </c>
    </row>
    <row r="26" spans="1:9" ht="18.75">
      <c r="A26" s="24" t="s">
        <v>72</v>
      </c>
      <c r="B26" s="17">
        <v>10.219440166353635</v>
      </c>
      <c r="C26" s="57">
        <f t="shared" si="0"/>
        <v>0.08935169036758772</v>
      </c>
      <c r="D26" s="58">
        <f t="shared" si="1"/>
        <v>0.008820425466115226</v>
      </c>
      <c r="E26" s="59">
        <f t="shared" si="2"/>
        <v>0.011149477600600574</v>
      </c>
      <c r="F26" s="5">
        <v>362.59</v>
      </c>
      <c r="G26" s="60">
        <f t="shared" si="3"/>
        <v>4.149999999999977</v>
      </c>
      <c r="H26" s="58">
        <f t="shared" si="4"/>
        <v>0.01157794888963279</v>
      </c>
      <c r="I26" s="59">
        <f t="shared" si="5"/>
        <v>0.05320169963595208</v>
      </c>
    </row>
    <row r="27" spans="1:9" ht="18.75">
      <c r="A27" s="24" t="s">
        <v>73</v>
      </c>
      <c r="B27" s="17">
        <v>10.219440166353635</v>
      </c>
      <c r="C27" s="57">
        <f t="shared" si="0"/>
        <v>0</v>
      </c>
      <c r="D27" s="58">
        <f t="shared" si="1"/>
        <v>0</v>
      </c>
      <c r="E27" s="59">
        <f t="shared" si="2"/>
        <v>0.011149477600600574</v>
      </c>
      <c r="F27" s="5">
        <v>364.53</v>
      </c>
      <c r="G27" s="60">
        <f t="shared" si="3"/>
        <v>1.9399999999999977</v>
      </c>
      <c r="H27" s="58">
        <f t="shared" si="4"/>
        <v>0.005350395763810359</v>
      </c>
      <c r="I27" s="59">
        <f t="shared" si="5"/>
        <v>0.05855209539976244</v>
      </c>
    </row>
    <row r="28" spans="1:9" ht="18.75">
      <c r="A28" s="24" t="s">
        <v>75</v>
      </c>
      <c r="B28" s="17">
        <v>10.192638683928092</v>
      </c>
      <c r="C28" s="57">
        <f t="shared" si="0"/>
        <v>-0.02680148242554381</v>
      </c>
      <c r="D28" s="58">
        <f t="shared" si="1"/>
        <v>-0.002622597910381108</v>
      </c>
      <c r="E28" s="59">
        <f t="shared" si="2"/>
        <v>0.008526879690219466</v>
      </c>
      <c r="F28" s="5">
        <v>361.21</v>
      </c>
      <c r="G28" s="60">
        <f t="shared" si="3"/>
        <v>-3.319999999999993</v>
      </c>
      <c r="H28" s="58">
        <f t="shared" si="4"/>
        <v>-0.009107618028694465</v>
      </c>
      <c r="I28" s="59">
        <f t="shared" si="5"/>
        <v>0.04944447737106797</v>
      </c>
    </row>
    <row r="29" spans="1:9" ht="18.75">
      <c r="A29" s="24" t="s">
        <v>76</v>
      </c>
      <c r="B29" s="17">
        <v>10.162453548430372</v>
      </c>
      <c r="C29" s="57">
        <f t="shared" si="0"/>
        <v>-0.030185135497719173</v>
      </c>
      <c r="D29" s="58">
        <f t="shared" si="1"/>
        <v>-0.0029614642914121496</v>
      </c>
      <c r="E29" s="59">
        <f t="shared" si="2"/>
        <v>0.005565415398807316</v>
      </c>
      <c r="F29" s="5">
        <v>361.35</v>
      </c>
      <c r="G29" s="60">
        <f t="shared" si="3"/>
        <v>0.1400000000000432</v>
      </c>
      <c r="H29" s="58">
        <f t="shared" si="4"/>
        <v>0.00038758616871084194</v>
      </c>
      <c r="I29" s="59">
        <f t="shared" si="5"/>
        <v>0.04983206353977881</v>
      </c>
    </row>
    <row r="30" spans="1:9" ht="18.75">
      <c r="A30" s="24" t="s">
        <v>79</v>
      </c>
      <c r="B30" s="17">
        <v>10.132268412932653</v>
      </c>
      <c r="C30" s="57">
        <f t="shared" si="0"/>
        <v>-0.030185135497719173</v>
      </c>
      <c r="D30" s="58">
        <f t="shared" si="1"/>
        <v>-0.0029702606121512235</v>
      </c>
      <c r="E30" s="59">
        <f t="shared" si="2"/>
        <v>0.0025951547866560924</v>
      </c>
      <c r="F30" s="5">
        <v>364.29</v>
      </c>
      <c r="G30" s="60">
        <f t="shared" si="3"/>
        <v>2.9399999999999977</v>
      </c>
      <c r="H30" s="58">
        <f t="shared" si="4"/>
        <v>0.008136156081361553</v>
      </c>
      <c r="I30" s="59">
        <f t="shared" si="5"/>
        <v>0.05796821962114036</v>
      </c>
    </row>
    <row r="31" spans="1:9" ht="18.75">
      <c r="A31" s="24" t="s">
        <v>80</v>
      </c>
      <c r="B31" s="17">
        <v>10.270685919931246</v>
      </c>
      <c r="C31" s="57">
        <f t="shared" si="0"/>
        <v>0.1384175069985929</v>
      </c>
      <c r="D31" s="58">
        <f t="shared" si="1"/>
        <v>0.013661058053092945</v>
      </c>
      <c r="E31" s="59">
        <f t="shared" si="2"/>
        <v>0.016256212839749037</v>
      </c>
      <c r="F31" s="5">
        <v>364.9</v>
      </c>
      <c r="G31" s="60">
        <f t="shared" si="3"/>
        <v>0.6099999999999568</v>
      </c>
      <c r="H31" s="58">
        <f t="shared" si="4"/>
        <v>0.001674490104037873</v>
      </c>
      <c r="I31" s="59">
        <f t="shared" si="5"/>
        <v>0.05964270972517824</v>
      </c>
    </row>
    <row r="32" spans="1:9" ht="18.75">
      <c r="A32" s="24" t="s">
        <v>82</v>
      </c>
      <c r="B32" s="17">
        <v>10.270685919931246</v>
      </c>
      <c r="C32" s="57">
        <f t="shared" si="0"/>
        <v>0</v>
      </c>
      <c r="D32" s="58">
        <f t="shared" si="1"/>
        <v>0</v>
      </c>
      <c r="E32" s="59">
        <f t="shared" si="2"/>
        <v>0.016256212839749037</v>
      </c>
      <c r="F32" s="5">
        <v>366.67</v>
      </c>
      <c r="G32" s="60">
        <f t="shared" si="3"/>
        <v>1.7700000000000387</v>
      </c>
      <c r="H32" s="58">
        <f t="shared" si="4"/>
        <v>0.004850644012058205</v>
      </c>
      <c r="I32" s="59">
        <f t="shared" si="5"/>
        <v>0.06449335373723644</v>
      </c>
    </row>
    <row r="33" spans="1:9" ht="18.75">
      <c r="A33" s="24" t="s">
        <v>84</v>
      </c>
      <c r="B33" s="17">
        <v>10.14177379502972</v>
      </c>
      <c r="C33" s="57">
        <f t="shared" si="0"/>
        <v>-0.12891212490152526</v>
      </c>
      <c r="D33" s="58">
        <f t="shared" si="1"/>
        <v>-0.012551462084081354</v>
      </c>
      <c r="E33" s="59">
        <f t="shared" si="2"/>
        <v>0.0037047507556676827</v>
      </c>
      <c r="F33" s="5">
        <v>364.19</v>
      </c>
      <c r="G33" s="60">
        <f t="shared" si="3"/>
        <v>-2.480000000000018</v>
      </c>
      <c r="H33" s="58">
        <f t="shared" si="4"/>
        <v>-0.006763574876592081</v>
      </c>
      <c r="I33" s="59">
        <f t="shared" si="5"/>
        <v>0.057729778860644364</v>
      </c>
    </row>
    <row r="34" spans="1:9" ht="18.75">
      <c r="A34" s="24" t="s">
        <v>86</v>
      </c>
      <c r="B34" s="17">
        <v>10.10954576380434</v>
      </c>
      <c r="C34" s="57">
        <f t="shared" si="0"/>
        <v>-0.032228031225381315</v>
      </c>
      <c r="D34" s="58">
        <f t="shared" si="1"/>
        <v>-0.003177750941474915</v>
      </c>
      <c r="E34" s="59">
        <f t="shared" si="2"/>
        <v>0.0005269998141927677</v>
      </c>
      <c r="F34" s="5">
        <v>364.94</v>
      </c>
      <c r="G34" s="60">
        <f t="shared" si="3"/>
        <v>0.75</v>
      </c>
      <c r="H34" s="58">
        <f t="shared" si="4"/>
        <v>0.002059364617370054</v>
      </c>
      <c r="I34" s="59">
        <f t="shared" si="5"/>
        <v>0.059789143478014416</v>
      </c>
    </row>
    <row r="35" spans="1:9" ht="18.75">
      <c r="A35" s="24" t="s">
        <v>88</v>
      </c>
      <c r="B35" s="17">
        <v>10.088060409654085</v>
      </c>
      <c r="C35" s="57">
        <f t="shared" si="0"/>
        <v>-0.02148535415025421</v>
      </c>
      <c r="D35" s="58">
        <f t="shared" si="1"/>
        <v>-0.0021252541560451894</v>
      </c>
      <c r="E35" s="59">
        <f t="shared" si="2"/>
        <v>-0.0015982543418524217</v>
      </c>
      <c r="F35" s="5">
        <v>365.09</v>
      </c>
      <c r="G35" s="60">
        <f t="shared" si="3"/>
        <v>0.14999999999997726</v>
      </c>
      <c r="H35" s="58">
        <f t="shared" si="4"/>
        <v>0.00041102647010461246</v>
      </c>
      <c r="I35" s="59">
        <f t="shared" si="5"/>
        <v>0.060200169948119026</v>
      </c>
    </row>
    <row r="36" spans="1:9" ht="18.75">
      <c r="A36" s="24" t="s">
        <v>90</v>
      </c>
      <c r="B36" s="17">
        <v>10.055832378428704</v>
      </c>
      <c r="C36" s="57">
        <f t="shared" si="0"/>
        <v>-0.032228031225381315</v>
      </c>
      <c r="D36" s="58">
        <f t="shared" si="1"/>
        <v>-0.003194670721295413</v>
      </c>
      <c r="E36" s="59">
        <f t="shared" si="2"/>
        <v>-0.004792925063147834</v>
      </c>
      <c r="F36" s="5">
        <v>365.35</v>
      </c>
      <c r="G36" s="60">
        <f t="shared" si="3"/>
        <v>0.26000000000004775</v>
      </c>
      <c r="H36" s="58">
        <f t="shared" si="4"/>
        <v>0.0007121531677122019</v>
      </c>
      <c r="I36" s="59">
        <f t="shared" si="5"/>
        <v>0.060912323115831224</v>
      </c>
    </row>
    <row r="37" spans="1:9" ht="18.75">
      <c r="A37" s="24" t="s">
        <v>93</v>
      </c>
      <c r="B37" s="17">
        <v>10.145985282532406</v>
      </c>
      <c r="C37" s="57">
        <f t="shared" si="0"/>
        <v>0.09015290410370191</v>
      </c>
      <c r="D37" s="58">
        <f t="shared" si="1"/>
        <v>0.008965235368987818</v>
      </c>
      <c r="E37" s="59">
        <f t="shared" si="2"/>
        <v>0.004172310305839984</v>
      </c>
      <c r="F37" s="5">
        <v>365.46</v>
      </c>
      <c r="G37" s="60">
        <f t="shared" si="3"/>
        <v>0.1099999999999568</v>
      </c>
      <c r="H37" s="58">
        <f t="shared" si="4"/>
        <v>0.00030108115505667656</v>
      </c>
      <c r="I37" s="59">
        <f t="shared" si="5"/>
        <v>0.0612134042708879</v>
      </c>
    </row>
    <row r="38" spans="1:9" ht="18.75">
      <c r="A38" s="24" t="s">
        <v>95</v>
      </c>
      <c r="B38" s="17">
        <v>10.221184022058296</v>
      </c>
      <c r="C38" s="57">
        <f t="shared" si="0"/>
        <v>0.07519873952588974</v>
      </c>
      <c r="D38" s="58">
        <f t="shared" si="1"/>
        <v>0.007411674414248743</v>
      </c>
      <c r="E38" s="59">
        <f t="shared" si="2"/>
        <v>0.011583984720088727</v>
      </c>
      <c r="F38" s="5">
        <v>361.46</v>
      </c>
      <c r="G38" s="60">
        <f t="shared" si="3"/>
        <v>-4</v>
      </c>
      <c r="H38" s="58">
        <f t="shared" si="4"/>
        <v>-0.01094511027198599</v>
      </c>
      <c r="I38" s="59">
        <f t="shared" si="5"/>
        <v>0.05026829399890191</v>
      </c>
    </row>
    <row r="39" spans="1:9" ht="18.75">
      <c r="A39" s="24" t="s">
        <v>97</v>
      </c>
      <c r="B39" s="17">
        <v>10.163889744324285</v>
      </c>
      <c r="C39" s="57">
        <f t="shared" si="0"/>
        <v>-0.057294277734010635</v>
      </c>
      <c r="D39" s="58">
        <f t="shared" si="1"/>
        <v>-0.00560544430179166</v>
      </c>
      <c r="E39" s="59">
        <f t="shared" si="2"/>
        <v>0.005978540418297067</v>
      </c>
      <c r="F39" s="5">
        <v>356.2</v>
      </c>
      <c r="G39" s="60">
        <f t="shared" si="3"/>
        <v>-5.259999999999991</v>
      </c>
      <c r="H39" s="58">
        <f t="shared" si="4"/>
        <v>-0.01455209428429146</v>
      </c>
      <c r="I39" s="59">
        <f t="shared" si="5"/>
        <v>0.03571619971461045</v>
      </c>
    </row>
    <row r="40" spans="1:9" ht="18.75">
      <c r="A40" s="24" t="s">
        <v>99</v>
      </c>
      <c r="B40" s="17">
        <v>10.104805020411085</v>
      </c>
      <c r="C40" s="57">
        <f t="shared" si="0"/>
        <v>-0.059084723913199966</v>
      </c>
      <c r="D40" s="58">
        <f t="shared" si="1"/>
        <v>-0.00581320000506637</v>
      </c>
      <c r="E40" s="59">
        <f t="shared" si="2"/>
        <v>0.000165340413230697</v>
      </c>
      <c r="F40" s="5">
        <v>353.93</v>
      </c>
      <c r="G40" s="60">
        <f t="shared" si="3"/>
        <v>-2.269999999999982</v>
      </c>
      <c r="H40" s="58">
        <f t="shared" si="4"/>
        <v>-0.006372824256035884</v>
      </c>
      <c r="I40" s="59">
        <f t="shared" si="5"/>
        <v>0.029343375458574565</v>
      </c>
    </row>
    <row r="41" spans="1:9" ht="18.75">
      <c r="A41" s="24" t="s">
        <v>100</v>
      </c>
      <c r="B41" s="17">
        <v>10.137721585619136</v>
      </c>
      <c r="C41" s="57">
        <f t="shared" si="0"/>
        <v>0.032916565208051196</v>
      </c>
      <c r="D41" s="58">
        <f t="shared" si="1"/>
        <v>0.0032575161164972266</v>
      </c>
      <c r="E41" s="59">
        <f t="shared" si="2"/>
        <v>0.0034228565297279236</v>
      </c>
      <c r="F41" s="5">
        <v>352.83</v>
      </c>
      <c r="G41" s="60">
        <f t="shared" si="3"/>
        <v>-1.1000000000000227</v>
      </c>
      <c r="H41" s="58">
        <f t="shared" si="4"/>
        <v>-0.0031079592009720077</v>
      </c>
      <c r="I41" s="59">
        <f t="shared" si="5"/>
        <v>0.02623541625760256</v>
      </c>
    </row>
    <row r="42" spans="1:9" ht="18.75">
      <c r="A42" s="24" t="s">
        <v>106</v>
      </c>
      <c r="B42" s="17">
        <v>10.154002843228533</v>
      </c>
      <c r="C42" s="57">
        <f t="shared" si="0"/>
        <v>0.01628125760939625</v>
      </c>
      <c r="D42" s="58">
        <f t="shared" si="1"/>
        <v>0.00160600757003349</v>
      </c>
      <c r="E42" s="59">
        <f t="shared" si="2"/>
        <v>0.005028864099761414</v>
      </c>
      <c r="F42" s="5">
        <v>350.62</v>
      </c>
      <c r="G42" s="60">
        <f t="shared" si="3"/>
        <v>-2.2099999999999795</v>
      </c>
      <c r="H42" s="58">
        <f t="shared" si="4"/>
        <v>-0.00626363971317626</v>
      </c>
      <c r="I42" s="59">
        <f t="shared" si="5"/>
        <v>0.0199717765444263</v>
      </c>
    </row>
    <row r="43" spans="1:9" ht="18.75">
      <c r="A43" s="24" t="s">
        <v>110</v>
      </c>
      <c r="B43" s="17">
        <v>10.1590365036167</v>
      </c>
      <c r="C43" s="57">
        <f t="shared" si="0"/>
        <v>0.005033660388168215</v>
      </c>
      <c r="D43" s="58">
        <f t="shared" si="1"/>
        <v>0.0004957316307553574</v>
      </c>
      <c r="E43" s="59">
        <f t="shared" si="2"/>
        <v>0.0055245957305167705</v>
      </c>
      <c r="F43" s="5">
        <v>350.25</v>
      </c>
      <c r="G43" s="60">
        <f t="shared" si="3"/>
        <v>-0.37000000000000455</v>
      </c>
      <c r="H43" s="58">
        <f t="shared" si="4"/>
        <v>-0.0010552735154868648</v>
      </c>
      <c r="I43" s="59">
        <f t="shared" si="5"/>
        <v>0.018916503028939435</v>
      </c>
    </row>
    <row r="44" spans="1:9" ht="18.75">
      <c r="A44" s="24" t="s">
        <v>113</v>
      </c>
      <c r="B44" s="17">
        <v>10.13509895437943</v>
      </c>
      <c r="C44" s="57">
        <f t="shared" si="0"/>
        <v>-0.023937549237270872</v>
      </c>
      <c r="D44" s="58">
        <f t="shared" si="1"/>
        <v>-0.0023562814474334163</v>
      </c>
      <c r="E44" s="59">
        <f t="shared" si="2"/>
        <v>0.0031683142830833543</v>
      </c>
      <c r="F44" s="5">
        <v>350.01</v>
      </c>
      <c r="G44" s="60">
        <f t="shared" si="3"/>
        <v>-0.2400000000000091</v>
      </c>
      <c r="H44" s="58">
        <f t="shared" si="4"/>
        <v>-0.0006852248394004542</v>
      </c>
      <c r="I44" s="59">
        <f t="shared" si="5"/>
        <v>0.018231278189538982</v>
      </c>
    </row>
    <row r="45" spans="1:9" ht="18.75">
      <c r="A45" s="24" t="s">
        <v>116</v>
      </c>
      <c r="B45" s="17">
        <v>10.135046540650999</v>
      </c>
      <c r="C45" s="57">
        <f t="shared" si="0"/>
        <v>-5.241372843123315E-05</v>
      </c>
      <c r="D45" s="58">
        <f t="shared" si="1"/>
        <v>-5.171506333303722E-06</v>
      </c>
      <c r="E45" s="59">
        <f t="shared" si="2"/>
        <v>0.0031631427767500504</v>
      </c>
      <c r="F45" s="5">
        <v>350.55</v>
      </c>
      <c r="G45" s="60">
        <f t="shared" si="3"/>
        <v>0.5400000000000205</v>
      </c>
      <c r="H45" s="58">
        <f t="shared" si="4"/>
        <v>0.0015428130624839875</v>
      </c>
      <c r="I45" s="59">
        <f t="shared" si="5"/>
        <v>0.01977409125202297</v>
      </c>
    </row>
    <row r="46" spans="1:9" ht="18.75">
      <c r="A46" s="24" t="s">
        <v>121</v>
      </c>
      <c r="B46" s="17">
        <v>10.149207130345934</v>
      </c>
      <c r="C46" s="57">
        <f t="shared" si="0"/>
        <v>0.014160589694935055</v>
      </c>
      <c r="D46" s="58">
        <f t="shared" si="1"/>
        <v>0.001397190396525351</v>
      </c>
      <c r="E46" s="59">
        <f t="shared" si="2"/>
        <v>0.004560333173275402</v>
      </c>
      <c r="F46" s="5">
        <v>350.93</v>
      </c>
      <c r="G46" s="60">
        <f t="shared" si="3"/>
        <v>0.37999999999999545</v>
      </c>
      <c r="H46" s="58">
        <f t="shared" si="4"/>
        <v>0.001084010840108388</v>
      </c>
      <c r="I46" s="59">
        <f t="shared" si="5"/>
        <v>0.020858102092131358</v>
      </c>
    </row>
    <row r="47" spans="1:9" ht="18.75">
      <c r="A47" s="24" t="s">
        <v>124</v>
      </c>
      <c r="B47" s="17">
        <v>10.42411838417749</v>
      </c>
      <c r="C47" s="57">
        <f t="shared" si="0"/>
        <v>0.2749112538315561</v>
      </c>
      <c r="D47" s="58">
        <f t="shared" si="1"/>
        <v>0.02708696849920195</v>
      </c>
      <c r="E47" s="59">
        <f t="shared" si="2"/>
        <v>0.031647301672477354</v>
      </c>
      <c r="F47" s="5">
        <v>353.41</v>
      </c>
      <c r="G47" s="60">
        <f t="shared" si="3"/>
        <v>2.480000000000018</v>
      </c>
      <c r="H47" s="58">
        <f t="shared" si="4"/>
        <v>0.0070669364260679286</v>
      </c>
      <c r="I47" s="59">
        <f t="shared" si="5"/>
        <v>0.02792503851819929</v>
      </c>
    </row>
    <row r="48" spans="1:9" ht="18.75">
      <c r="A48" s="24" t="s">
        <v>127</v>
      </c>
      <c r="B48" s="17">
        <v>10.70300762662385</v>
      </c>
      <c r="C48" s="57">
        <f t="shared" si="0"/>
        <v>0.2788892424463594</v>
      </c>
      <c r="D48" s="58">
        <f t="shared" si="1"/>
        <v>0.026754228239548625</v>
      </c>
      <c r="E48" s="59">
        <f t="shared" si="2"/>
        <v>0.058401529912025976</v>
      </c>
      <c r="F48" s="5">
        <v>355.36</v>
      </c>
      <c r="G48" s="60">
        <f t="shared" si="3"/>
        <v>1.9499999999999886</v>
      </c>
      <c r="H48" s="58">
        <f t="shared" si="4"/>
        <v>0.005517670694094645</v>
      </c>
      <c r="I48" s="59">
        <f t="shared" si="5"/>
        <v>0.03344270921229393</v>
      </c>
    </row>
    <row r="49" spans="1:9" ht="18.75">
      <c r="A49" s="24" t="s">
        <v>130</v>
      </c>
      <c r="B49" s="17">
        <v>10.706784943803823</v>
      </c>
      <c r="C49" s="57">
        <f t="shared" si="0"/>
        <v>0.0037773171799742045</v>
      </c>
      <c r="D49" s="58">
        <f t="shared" si="1"/>
        <v>0.00035292109580283644</v>
      </c>
      <c r="E49" s="59">
        <f t="shared" si="2"/>
        <v>0.05875445100782881</v>
      </c>
      <c r="F49" s="5">
        <v>356.48</v>
      </c>
      <c r="G49" s="60">
        <f t="shared" si="3"/>
        <v>1.1200000000000045</v>
      </c>
      <c r="H49" s="58">
        <f t="shared" si="4"/>
        <v>0.003151733453399382</v>
      </c>
      <c r="I49" s="59">
        <f t="shared" si="5"/>
        <v>0.03659444266569332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D21" sqref="D21"/>
    </sheetView>
  </sheetViews>
  <sheetFormatPr defaultColWidth="9.140625" defaultRowHeight="21.75"/>
  <cols>
    <col min="1" max="1" width="10.7109375" style="0" customWidth="1"/>
    <col min="2" max="2" width="10.28125" style="0" customWidth="1"/>
    <col min="3" max="3" width="10.00390625" style="0" customWidth="1"/>
    <col min="4" max="4" width="11.140625" style="0" customWidth="1"/>
    <col min="5" max="5" width="12.57421875" style="0" customWidth="1"/>
    <col min="6" max="6" width="10.57421875" style="0" customWidth="1"/>
    <col min="7" max="7" width="13.00390625" style="0" customWidth="1"/>
  </cols>
  <sheetData>
    <row r="1" spans="1:7" s="8" customFormat="1" ht="21">
      <c r="A1" s="72" t="s">
        <v>83</v>
      </c>
      <c r="B1" s="72"/>
      <c r="C1" s="72"/>
      <c r="D1" s="72"/>
      <c r="E1" s="72"/>
      <c r="F1" s="72"/>
      <c r="G1" s="72"/>
    </row>
    <row r="2" spans="1:7" s="1" customFormat="1" ht="18.75">
      <c r="A2" s="34" t="s">
        <v>2</v>
      </c>
      <c r="B2" s="34" t="s">
        <v>4</v>
      </c>
      <c r="C2" s="34" t="s">
        <v>9</v>
      </c>
      <c r="D2" s="34" t="s">
        <v>10</v>
      </c>
      <c r="E2" s="34" t="s">
        <v>11</v>
      </c>
      <c r="F2" s="34" t="s">
        <v>12</v>
      </c>
      <c r="G2" s="34" t="s">
        <v>27</v>
      </c>
    </row>
    <row r="3" spans="1:7" s="1" customFormat="1" ht="18.75">
      <c r="A3" s="20" t="s">
        <v>32</v>
      </c>
      <c r="B3" s="21">
        <v>1800</v>
      </c>
      <c r="C3" s="19">
        <f>-((-36.67*500)+(TRANSACTION!$H$36)+(TRANSACTION!$H$39)+(TRANSACTION!$H$42))/1800</f>
        <v>38.28778694444444</v>
      </c>
      <c r="D3" s="19">
        <v>38.5</v>
      </c>
      <c r="E3" s="19">
        <f>$B3*$D3</f>
        <v>69300</v>
      </c>
      <c r="F3" s="26">
        <f>$E3/$E$17</f>
        <v>0.48937364498713765</v>
      </c>
      <c r="G3" s="19">
        <f>$E3-($B3*$C3)</f>
        <v>381.9835000000021</v>
      </c>
    </row>
    <row r="4" spans="1:7" s="1" customFormat="1" ht="18.75">
      <c r="A4" s="20" t="s">
        <v>30</v>
      </c>
      <c r="B4" s="21">
        <v>1000</v>
      </c>
      <c r="C4" s="19">
        <v>27.59</v>
      </c>
      <c r="D4" s="19">
        <v>22.5</v>
      </c>
      <c r="E4" s="19">
        <f>$B4*$D4</f>
        <v>22500</v>
      </c>
      <c r="F4" s="26">
        <f>$E4/$E$17</f>
        <v>0.15888754707374597</v>
      </c>
      <c r="G4" s="19">
        <f>$E4-($B4*$C4)</f>
        <v>-5090</v>
      </c>
    </row>
    <row r="5" spans="1:7" s="1" customFormat="1" ht="18.75">
      <c r="A5" s="20"/>
      <c r="B5" s="21"/>
      <c r="C5" s="19"/>
      <c r="D5" s="19"/>
      <c r="E5" s="19"/>
      <c r="F5" s="26"/>
      <c r="G5" s="19"/>
    </row>
    <row r="6" spans="1:9" s="1" customFormat="1" ht="18.75">
      <c r="A6" s="33"/>
      <c r="B6" s="33"/>
      <c r="C6" s="61"/>
      <c r="D6" s="33"/>
      <c r="E6" s="33"/>
      <c r="F6" s="33"/>
      <c r="G6" s="33"/>
      <c r="I6" s="7"/>
    </row>
    <row r="7" spans="1:7" s="1" customFormat="1" ht="18.75">
      <c r="A7" s="20"/>
      <c r="B7" s="21"/>
      <c r="C7" s="19"/>
      <c r="D7" s="19"/>
      <c r="E7" s="19"/>
      <c r="F7" s="26"/>
      <c r="G7" s="19"/>
    </row>
    <row r="8" spans="1:7" s="1" customFormat="1" ht="18.75">
      <c r="A8" s="33"/>
      <c r="B8" s="33"/>
      <c r="C8" s="33"/>
      <c r="D8" s="33"/>
      <c r="E8" s="33"/>
      <c r="F8" s="33"/>
      <c r="G8" s="33"/>
    </row>
    <row r="9" spans="1:7" s="1" customFormat="1" ht="20.25">
      <c r="A9" s="20"/>
      <c r="B9" s="21"/>
      <c r="C9" s="19"/>
      <c r="D9" s="19"/>
      <c r="E9" s="27"/>
      <c r="F9" s="26"/>
      <c r="G9" s="27"/>
    </row>
    <row r="10" spans="1:7" s="1" customFormat="1" ht="20.25">
      <c r="A10" s="73" t="s">
        <v>35</v>
      </c>
      <c r="B10" s="73"/>
      <c r="C10" s="35"/>
      <c r="D10" s="35"/>
      <c r="E10" s="36">
        <f>SUM($E3:$E9)</f>
        <v>91800</v>
      </c>
      <c r="F10" s="37">
        <f>SUM($F3:$F9)</f>
        <v>0.6482611920608836</v>
      </c>
      <c r="G10" s="27">
        <f>SUM($G3:$G9)</f>
        <v>-4708.016499999998</v>
      </c>
    </row>
    <row r="11" spans="2:7" s="1" customFormat="1" ht="18.75">
      <c r="B11" s="3"/>
      <c r="C11" s="2"/>
      <c r="D11" s="2"/>
      <c r="E11" s="2"/>
      <c r="F11" s="2"/>
      <c r="G11" s="2"/>
    </row>
    <row r="12" spans="1:7" s="1" customFormat="1" ht="18.75">
      <c r="A12" s="69" t="s">
        <v>17</v>
      </c>
      <c r="B12" s="69"/>
      <c r="C12" s="19"/>
      <c r="D12" s="19"/>
      <c r="E12" s="19">
        <v>49809.587499999994</v>
      </c>
      <c r="F12" s="2"/>
      <c r="G12" s="2"/>
    </row>
    <row r="13" spans="1:7" s="1" customFormat="1" ht="18.75">
      <c r="A13" s="69" t="s">
        <v>14</v>
      </c>
      <c r="B13" s="69"/>
      <c r="C13" s="19"/>
      <c r="D13" s="19"/>
      <c r="E13" s="19">
        <v>0</v>
      </c>
      <c r="F13" s="2"/>
      <c r="G13" s="2"/>
    </row>
    <row r="14" spans="1:7" s="1" customFormat="1" ht="18.75">
      <c r="A14" s="69" t="s">
        <v>78</v>
      </c>
      <c r="B14" s="69"/>
      <c r="C14" s="19"/>
      <c r="D14" s="19"/>
      <c r="E14" s="19">
        <v>0</v>
      </c>
      <c r="F14" s="2"/>
      <c r="G14" s="2"/>
    </row>
    <row r="15" spans="1:6" s="1" customFormat="1" ht="20.25">
      <c r="A15" s="70" t="s">
        <v>19</v>
      </c>
      <c r="B15" s="70"/>
      <c r="C15" s="38"/>
      <c r="D15" s="38"/>
      <c r="E15" s="36">
        <f>SUM($E12:$E14)</f>
        <v>49809.587499999994</v>
      </c>
      <c r="F15" s="37">
        <f>$E15/$E$17</f>
        <v>0.3517388079391164</v>
      </c>
    </row>
    <row r="16" spans="1:5" s="1" customFormat="1" ht="18.75">
      <c r="A16" s="18"/>
      <c r="B16" s="18"/>
      <c r="E16" s="2"/>
    </row>
    <row r="17" spans="1:6" s="1" customFormat="1" ht="20.25">
      <c r="A17" s="70" t="s">
        <v>20</v>
      </c>
      <c r="B17" s="70"/>
      <c r="C17" s="38"/>
      <c r="D17" s="38"/>
      <c r="E17" s="36">
        <f>SUM($E10,$E15)</f>
        <v>141609.5875</v>
      </c>
      <c r="F17" s="37">
        <f>SUM($F10,$F15)</f>
        <v>1</v>
      </c>
    </row>
    <row r="18" spans="1:5" s="1" customFormat="1" ht="18.75">
      <c r="A18" s="71" t="s">
        <v>33</v>
      </c>
      <c r="B18" s="71"/>
      <c r="C18" s="20"/>
      <c r="D18" s="20"/>
      <c r="E18" s="21">
        <v>13963</v>
      </c>
    </row>
    <row r="19" spans="1:8" s="1" customFormat="1" ht="21.75">
      <c r="A19" s="68" t="s">
        <v>34</v>
      </c>
      <c r="B19" s="68"/>
      <c r="C19" s="38"/>
      <c r="D19" s="38"/>
      <c r="E19" s="39">
        <f>E$17/E$18</f>
        <v>10.14177379502972</v>
      </c>
      <c r="F19" s="4"/>
      <c r="G19" s="6"/>
      <c r="H19" s="62"/>
    </row>
  </sheetData>
  <mergeCells count="9">
    <mergeCell ref="A1:G1"/>
    <mergeCell ref="A10:B10"/>
    <mergeCell ref="A12:B12"/>
    <mergeCell ref="A13:B13"/>
    <mergeCell ref="A19:B19"/>
    <mergeCell ref="A14:B14"/>
    <mergeCell ref="A15:B15"/>
    <mergeCell ref="A17:B17"/>
    <mergeCell ref="A18:B1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I18" sqref="I18"/>
    </sheetView>
  </sheetViews>
  <sheetFormatPr defaultColWidth="9.140625" defaultRowHeight="21.75"/>
  <cols>
    <col min="1" max="1" width="10.7109375" style="0" customWidth="1"/>
    <col min="2" max="2" width="10.28125" style="0" customWidth="1"/>
    <col min="3" max="3" width="10.00390625" style="0" customWidth="1"/>
    <col min="4" max="4" width="11.140625" style="0" customWidth="1"/>
    <col min="5" max="5" width="12.57421875" style="0" customWidth="1"/>
    <col min="6" max="6" width="10.57421875" style="0" customWidth="1"/>
    <col min="7" max="7" width="13.00390625" style="0" customWidth="1"/>
  </cols>
  <sheetData>
    <row r="1" spans="1:7" s="8" customFormat="1" ht="21">
      <c r="A1" s="72" t="s">
        <v>85</v>
      </c>
      <c r="B1" s="72"/>
      <c r="C1" s="72"/>
      <c r="D1" s="72"/>
      <c r="E1" s="72"/>
      <c r="F1" s="72"/>
      <c r="G1" s="72"/>
    </row>
    <row r="2" spans="1:7" s="1" customFormat="1" ht="18.75">
      <c r="A2" s="34" t="s">
        <v>2</v>
      </c>
      <c r="B2" s="34" t="s">
        <v>4</v>
      </c>
      <c r="C2" s="34" t="s">
        <v>9</v>
      </c>
      <c r="D2" s="34" t="s">
        <v>10</v>
      </c>
      <c r="E2" s="34" t="s">
        <v>11</v>
      </c>
      <c r="F2" s="34" t="s">
        <v>12</v>
      </c>
      <c r="G2" s="34" t="s">
        <v>27</v>
      </c>
    </row>
    <row r="3" spans="1:7" s="1" customFormat="1" ht="18.75">
      <c r="A3" s="20" t="s">
        <v>32</v>
      </c>
      <c r="B3" s="21">
        <v>1800</v>
      </c>
      <c r="C3" s="19">
        <f>-((-36.67*500)+(TRANSACTION!$H$36)+(TRANSACTION!$H$39)+(TRANSACTION!$H$42))/1800</f>
        <v>38.28778694444444</v>
      </c>
      <c r="D3" s="19">
        <v>38.25</v>
      </c>
      <c r="E3" s="19">
        <f>$B3*$D3</f>
        <v>68850</v>
      </c>
      <c r="F3" s="26">
        <f>$E3/$E$17</f>
        <v>0.4877458288123717</v>
      </c>
      <c r="G3" s="19">
        <f>$E3-($B3*$C3)</f>
        <v>-68.0164999999979</v>
      </c>
    </row>
    <row r="4" spans="1:7" s="1" customFormat="1" ht="18.75">
      <c r="A4" s="20" t="s">
        <v>30</v>
      </c>
      <c r="B4" s="21">
        <v>1000</v>
      </c>
      <c r="C4" s="19">
        <v>27.59</v>
      </c>
      <c r="D4" s="19">
        <v>22.5</v>
      </c>
      <c r="E4" s="19">
        <f>$B4*$D4</f>
        <v>22500</v>
      </c>
      <c r="F4" s="26">
        <f>$E4/$E$17</f>
        <v>0.15939406170338943</v>
      </c>
      <c r="G4" s="19">
        <f>$E4-($B4*$C4)</f>
        <v>-5090</v>
      </c>
    </row>
    <row r="5" spans="1:7" s="1" customFormat="1" ht="18.75">
      <c r="A5" s="20"/>
      <c r="B5" s="21"/>
      <c r="C5" s="19"/>
      <c r="D5" s="19"/>
      <c r="E5" s="19"/>
      <c r="F5" s="26"/>
      <c r="G5" s="19"/>
    </row>
    <row r="6" spans="1:9" s="1" customFormat="1" ht="18.75">
      <c r="A6" s="33"/>
      <c r="B6" s="33"/>
      <c r="C6" s="61"/>
      <c r="D6" s="33"/>
      <c r="E6" s="33"/>
      <c r="F6" s="33"/>
      <c r="G6" s="33"/>
      <c r="I6" s="7"/>
    </row>
    <row r="7" spans="1:7" s="1" customFormat="1" ht="18.75">
      <c r="A7" s="20"/>
      <c r="B7" s="21"/>
      <c r="C7" s="19"/>
      <c r="D7" s="19"/>
      <c r="E7" s="19"/>
      <c r="F7" s="26"/>
      <c r="G7" s="19"/>
    </row>
    <row r="8" spans="1:7" s="1" customFormat="1" ht="18.75">
      <c r="A8" s="33"/>
      <c r="B8" s="33"/>
      <c r="C8" s="33"/>
      <c r="D8" s="33"/>
      <c r="E8" s="33"/>
      <c r="F8" s="33"/>
      <c r="G8" s="33"/>
    </row>
    <row r="9" spans="1:7" s="1" customFormat="1" ht="20.25">
      <c r="A9" s="20"/>
      <c r="B9" s="21"/>
      <c r="C9" s="19"/>
      <c r="D9" s="19"/>
      <c r="E9" s="27"/>
      <c r="F9" s="26"/>
      <c r="G9" s="27"/>
    </row>
    <row r="10" spans="1:7" s="1" customFormat="1" ht="20.25">
      <c r="A10" s="73" t="s">
        <v>35</v>
      </c>
      <c r="B10" s="73"/>
      <c r="C10" s="35"/>
      <c r="D10" s="35"/>
      <c r="E10" s="36">
        <f>SUM($E3:$E9)</f>
        <v>91350</v>
      </c>
      <c r="F10" s="37">
        <f>SUM($F3:$F9)</f>
        <v>0.6471398905157612</v>
      </c>
      <c r="G10" s="27">
        <f>SUM($G3:$G9)</f>
        <v>-5158.016499999998</v>
      </c>
    </row>
    <row r="11" spans="2:7" s="1" customFormat="1" ht="18.75">
      <c r="B11" s="3"/>
      <c r="C11" s="2"/>
      <c r="D11" s="2"/>
      <c r="E11" s="2"/>
      <c r="F11" s="2"/>
      <c r="G11" s="2"/>
    </row>
    <row r="12" spans="1:7" s="1" customFormat="1" ht="18.75">
      <c r="A12" s="69" t="s">
        <v>17</v>
      </c>
      <c r="B12" s="69"/>
      <c r="C12" s="19"/>
      <c r="D12" s="19"/>
      <c r="E12" s="19">
        <v>49809.587499999994</v>
      </c>
      <c r="F12" s="2"/>
      <c r="G12" s="2"/>
    </row>
    <row r="13" spans="1:7" s="1" customFormat="1" ht="18.75">
      <c r="A13" s="69" t="s">
        <v>14</v>
      </c>
      <c r="B13" s="69"/>
      <c r="C13" s="19"/>
      <c r="D13" s="19"/>
      <c r="E13" s="19">
        <v>0</v>
      </c>
      <c r="F13" s="2"/>
      <c r="G13" s="2"/>
    </row>
    <row r="14" spans="1:7" s="1" customFormat="1" ht="18.75">
      <c r="A14" s="69" t="s">
        <v>78</v>
      </c>
      <c r="B14" s="69"/>
      <c r="C14" s="19"/>
      <c r="D14" s="19"/>
      <c r="E14" s="19">
        <v>0</v>
      </c>
      <c r="F14" s="2"/>
      <c r="G14" s="2"/>
    </row>
    <row r="15" spans="1:6" s="1" customFormat="1" ht="20.25">
      <c r="A15" s="70" t="s">
        <v>19</v>
      </c>
      <c r="B15" s="70"/>
      <c r="C15" s="38"/>
      <c r="D15" s="38"/>
      <c r="E15" s="36">
        <f>SUM($E12:$E14)</f>
        <v>49809.587499999994</v>
      </c>
      <c r="F15" s="37">
        <f>$E15/$E$17</f>
        <v>0.35286010948423885</v>
      </c>
    </row>
    <row r="16" spans="1:5" s="1" customFormat="1" ht="18.75">
      <c r="A16" s="18"/>
      <c r="B16" s="18"/>
      <c r="E16" s="2"/>
    </row>
    <row r="17" spans="1:6" s="1" customFormat="1" ht="20.25">
      <c r="A17" s="70" t="s">
        <v>20</v>
      </c>
      <c r="B17" s="70"/>
      <c r="C17" s="38"/>
      <c r="D17" s="38"/>
      <c r="E17" s="36">
        <f>SUM($E10,$E15)</f>
        <v>141159.5875</v>
      </c>
      <c r="F17" s="37">
        <f>SUM($F10,$F15)</f>
        <v>1</v>
      </c>
    </row>
    <row r="18" spans="1:5" s="1" customFormat="1" ht="18.75">
      <c r="A18" s="71" t="s">
        <v>33</v>
      </c>
      <c r="B18" s="71"/>
      <c r="C18" s="20"/>
      <c r="D18" s="20"/>
      <c r="E18" s="21">
        <v>13963</v>
      </c>
    </row>
    <row r="19" spans="1:8" s="1" customFormat="1" ht="21.75">
      <c r="A19" s="68" t="s">
        <v>34</v>
      </c>
      <c r="B19" s="68"/>
      <c r="C19" s="38"/>
      <c r="D19" s="38"/>
      <c r="E19" s="39">
        <f>E$17/E$18</f>
        <v>10.10954576380434</v>
      </c>
      <c r="F19" s="4"/>
      <c r="G19" s="6"/>
      <c r="H19" s="62"/>
    </row>
  </sheetData>
  <mergeCells count="9">
    <mergeCell ref="A19:B19"/>
    <mergeCell ref="A14:B14"/>
    <mergeCell ref="A15:B15"/>
    <mergeCell ref="A17:B17"/>
    <mergeCell ref="A18:B18"/>
    <mergeCell ref="A1:G1"/>
    <mergeCell ref="A10:B10"/>
    <mergeCell ref="A12:B12"/>
    <mergeCell ref="A13:B1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:IV16384"/>
    </sheetView>
  </sheetViews>
  <sheetFormatPr defaultColWidth="9.140625" defaultRowHeight="21.75"/>
  <cols>
    <col min="1" max="1" width="10.7109375" style="0" customWidth="1"/>
    <col min="2" max="2" width="10.28125" style="0" customWidth="1"/>
    <col min="3" max="3" width="10.00390625" style="0" customWidth="1"/>
    <col min="4" max="4" width="11.140625" style="0" customWidth="1"/>
    <col min="5" max="5" width="12.57421875" style="0" customWidth="1"/>
    <col min="6" max="6" width="10.57421875" style="0" customWidth="1"/>
    <col min="7" max="7" width="13.00390625" style="0" customWidth="1"/>
  </cols>
  <sheetData>
    <row r="1" spans="1:7" s="8" customFormat="1" ht="21">
      <c r="A1" s="72" t="s">
        <v>87</v>
      </c>
      <c r="B1" s="72"/>
      <c r="C1" s="72"/>
      <c r="D1" s="72"/>
      <c r="E1" s="72"/>
      <c r="F1" s="72"/>
      <c r="G1" s="72"/>
    </row>
    <row r="2" spans="1:7" s="1" customFormat="1" ht="18.75">
      <c r="A2" s="34" t="s">
        <v>2</v>
      </c>
      <c r="B2" s="34" t="s">
        <v>4</v>
      </c>
      <c r="C2" s="34" t="s">
        <v>9</v>
      </c>
      <c r="D2" s="34" t="s">
        <v>10</v>
      </c>
      <c r="E2" s="34" t="s">
        <v>11</v>
      </c>
      <c r="F2" s="34" t="s">
        <v>12</v>
      </c>
      <c r="G2" s="34" t="s">
        <v>27</v>
      </c>
    </row>
    <row r="3" spans="1:7" s="1" customFormat="1" ht="18.75">
      <c r="A3" s="20" t="s">
        <v>32</v>
      </c>
      <c r="B3" s="21">
        <v>1800</v>
      </c>
      <c r="C3" s="19">
        <f>-((-36.67*500)+(TRANSACTION!$H$36)+(TRANSACTION!$H$39)+(TRANSACTION!$H$42))/1800</f>
        <v>38.28778694444444</v>
      </c>
      <c r="D3" s="19">
        <v>38.25</v>
      </c>
      <c r="E3" s="19">
        <f>$B3*$D3</f>
        <v>68850</v>
      </c>
      <c r="F3" s="26">
        <f>$E3/$E$17</f>
        <v>0.4887846203581989</v>
      </c>
      <c r="G3" s="19">
        <f>$E3-($B3*$C3)</f>
        <v>-68.0164999999979</v>
      </c>
    </row>
    <row r="4" spans="1:7" s="1" customFormat="1" ht="18.75">
      <c r="A4" s="20" t="s">
        <v>30</v>
      </c>
      <c r="B4" s="21">
        <v>1000</v>
      </c>
      <c r="C4" s="19">
        <v>27.59</v>
      </c>
      <c r="D4" s="19">
        <v>22.2</v>
      </c>
      <c r="E4" s="19">
        <f>$B4*$D4</f>
        <v>22200</v>
      </c>
      <c r="F4" s="26">
        <f>$E4/$E$17</f>
        <v>0.15760375558390727</v>
      </c>
      <c r="G4" s="19">
        <f>$E4-($B4*$C4)</f>
        <v>-5390</v>
      </c>
    </row>
    <row r="5" spans="1:7" s="1" customFormat="1" ht="18.75">
      <c r="A5" s="20"/>
      <c r="B5" s="21"/>
      <c r="C5" s="19"/>
      <c r="D5" s="19"/>
      <c r="E5" s="19"/>
      <c r="F5" s="26"/>
      <c r="G5" s="19"/>
    </row>
    <row r="6" spans="1:9" s="1" customFormat="1" ht="18.75">
      <c r="A6" s="33"/>
      <c r="B6" s="33"/>
      <c r="C6" s="61"/>
      <c r="D6" s="33"/>
      <c r="E6" s="33"/>
      <c r="F6" s="33"/>
      <c r="G6" s="33"/>
      <c r="I6" s="7"/>
    </row>
    <row r="7" spans="1:7" s="1" customFormat="1" ht="18.75">
      <c r="A7" s="20"/>
      <c r="B7" s="21"/>
      <c r="C7" s="19"/>
      <c r="D7" s="19"/>
      <c r="E7" s="19"/>
      <c r="F7" s="26"/>
      <c r="G7" s="19"/>
    </row>
    <row r="8" spans="1:7" s="1" customFormat="1" ht="18.75">
      <c r="A8" s="33"/>
      <c r="B8" s="33"/>
      <c r="C8" s="33"/>
      <c r="D8" s="33"/>
      <c r="E8" s="33"/>
      <c r="F8" s="33"/>
      <c r="G8" s="33"/>
    </row>
    <row r="9" spans="1:7" s="1" customFormat="1" ht="20.25">
      <c r="A9" s="20"/>
      <c r="B9" s="21"/>
      <c r="C9" s="19"/>
      <c r="D9" s="19"/>
      <c r="E9" s="27"/>
      <c r="F9" s="26"/>
      <c r="G9" s="27"/>
    </row>
    <row r="10" spans="1:7" s="1" customFormat="1" ht="20.25">
      <c r="A10" s="73" t="s">
        <v>35</v>
      </c>
      <c r="B10" s="73"/>
      <c r="C10" s="35"/>
      <c r="D10" s="35"/>
      <c r="E10" s="36">
        <f>SUM($E3:$E9)</f>
        <v>91050</v>
      </c>
      <c r="F10" s="37">
        <f>SUM($F3:$F9)</f>
        <v>0.6463883759421062</v>
      </c>
      <c r="G10" s="27">
        <f>SUM($G3:$G9)</f>
        <v>-5458.016499999998</v>
      </c>
    </row>
    <row r="11" spans="2:7" s="1" customFormat="1" ht="18.75">
      <c r="B11" s="3"/>
      <c r="C11" s="2"/>
      <c r="D11" s="2"/>
      <c r="E11" s="2"/>
      <c r="F11" s="2"/>
      <c r="G11" s="2"/>
    </row>
    <row r="12" spans="1:7" s="1" customFormat="1" ht="18.75">
      <c r="A12" s="69" t="s">
        <v>17</v>
      </c>
      <c r="B12" s="69"/>
      <c r="C12" s="19"/>
      <c r="D12" s="19"/>
      <c r="E12" s="19">
        <v>49809.587499999994</v>
      </c>
      <c r="F12" s="2"/>
      <c r="G12" s="2"/>
    </row>
    <row r="13" spans="1:7" s="1" customFormat="1" ht="18.75">
      <c r="A13" s="69" t="s">
        <v>14</v>
      </c>
      <c r="B13" s="69"/>
      <c r="C13" s="19"/>
      <c r="D13" s="19"/>
      <c r="E13" s="19">
        <v>0</v>
      </c>
      <c r="F13" s="2"/>
      <c r="G13" s="2"/>
    </row>
    <row r="14" spans="1:7" s="1" customFormat="1" ht="18.75">
      <c r="A14" s="69" t="s">
        <v>78</v>
      </c>
      <c r="B14" s="69"/>
      <c r="C14" s="19"/>
      <c r="D14" s="19"/>
      <c r="E14" s="19">
        <v>0</v>
      </c>
      <c r="F14" s="2"/>
      <c r="G14" s="2"/>
    </row>
    <row r="15" spans="1:6" s="1" customFormat="1" ht="20.25">
      <c r="A15" s="70" t="s">
        <v>19</v>
      </c>
      <c r="B15" s="70"/>
      <c r="C15" s="38"/>
      <c r="D15" s="38"/>
      <c r="E15" s="36">
        <f>SUM($E12:$E14)</f>
        <v>49809.587499999994</v>
      </c>
      <c r="F15" s="37">
        <f>$E15/$E$17</f>
        <v>0.3536116240578938</v>
      </c>
    </row>
    <row r="16" spans="1:5" s="1" customFormat="1" ht="18.75">
      <c r="A16" s="18"/>
      <c r="B16" s="18"/>
      <c r="E16" s="2"/>
    </row>
    <row r="17" spans="1:6" s="1" customFormat="1" ht="20.25">
      <c r="A17" s="70" t="s">
        <v>20</v>
      </c>
      <c r="B17" s="70"/>
      <c r="C17" s="38"/>
      <c r="D17" s="38"/>
      <c r="E17" s="36">
        <f>SUM($E10,$E15)</f>
        <v>140859.5875</v>
      </c>
      <c r="F17" s="37">
        <f>SUM($F10,$F15)</f>
        <v>1</v>
      </c>
    </row>
    <row r="18" spans="1:5" s="1" customFormat="1" ht="18.75">
      <c r="A18" s="71" t="s">
        <v>33</v>
      </c>
      <c r="B18" s="71"/>
      <c r="C18" s="20"/>
      <c r="D18" s="20"/>
      <c r="E18" s="21">
        <v>13963</v>
      </c>
    </row>
    <row r="19" spans="1:8" s="1" customFormat="1" ht="21.75">
      <c r="A19" s="68" t="s">
        <v>34</v>
      </c>
      <c r="B19" s="68"/>
      <c r="C19" s="38"/>
      <c r="D19" s="38"/>
      <c r="E19" s="39">
        <f>E$17/E$18</f>
        <v>10.088060409654085</v>
      </c>
      <c r="F19" s="4"/>
      <c r="G19" s="6"/>
      <c r="H19" s="62"/>
    </row>
  </sheetData>
  <mergeCells count="9">
    <mergeCell ref="A1:G1"/>
    <mergeCell ref="A10:B10"/>
    <mergeCell ref="A12:B12"/>
    <mergeCell ref="A13:B13"/>
    <mergeCell ref="A19:B19"/>
    <mergeCell ref="A14:B14"/>
    <mergeCell ref="A15:B15"/>
    <mergeCell ref="A17:B17"/>
    <mergeCell ref="A18:B1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D21" sqref="D21"/>
    </sheetView>
  </sheetViews>
  <sheetFormatPr defaultColWidth="9.140625" defaultRowHeight="21.75"/>
  <cols>
    <col min="1" max="1" width="10.7109375" style="0" customWidth="1"/>
    <col min="2" max="2" width="10.28125" style="0" customWidth="1"/>
    <col min="3" max="3" width="10.00390625" style="0" customWidth="1"/>
    <col min="4" max="4" width="11.140625" style="0" customWidth="1"/>
    <col min="5" max="5" width="12.57421875" style="0" customWidth="1"/>
    <col min="6" max="6" width="10.57421875" style="0" customWidth="1"/>
    <col min="7" max="7" width="13.00390625" style="0" customWidth="1"/>
  </cols>
  <sheetData>
    <row r="1" spans="1:7" s="8" customFormat="1" ht="21">
      <c r="A1" s="72" t="s">
        <v>89</v>
      </c>
      <c r="B1" s="72"/>
      <c r="C1" s="72"/>
      <c r="D1" s="72"/>
      <c r="E1" s="72"/>
      <c r="F1" s="72"/>
      <c r="G1" s="72"/>
    </row>
    <row r="2" spans="1:7" s="1" customFormat="1" ht="18.75">
      <c r="A2" s="34" t="s">
        <v>2</v>
      </c>
      <c r="B2" s="34" t="s">
        <v>4</v>
      </c>
      <c r="C2" s="34" t="s">
        <v>9</v>
      </c>
      <c r="D2" s="34" t="s">
        <v>10</v>
      </c>
      <c r="E2" s="34" t="s">
        <v>11</v>
      </c>
      <c r="F2" s="34" t="s">
        <v>12</v>
      </c>
      <c r="G2" s="34" t="s">
        <v>27</v>
      </c>
    </row>
    <row r="3" spans="1:7" s="1" customFormat="1" ht="18.75">
      <c r="A3" s="20" t="s">
        <v>32</v>
      </c>
      <c r="B3" s="21">
        <v>1800</v>
      </c>
      <c r="C3" s="19">
        <f>-((-36.67*500)+(TRANSACTION!$H$36)+(TRANSACTION!$H$39)+(TRANSACTION!$H$42))/1800</f>
        <v>38.28778694444444</v>
      </c>
      <c r="D3" s="19">
        <v>38</v>
      </c>
      <c r="E3" s="19">
        <f>$B3*$D3</f>
        <v>68400</v>
      </c>
      <c r="F3" s="26">
        <f>$E3/$E$17</f>
        <v>0.4871462214074235</v>
      </c>
      <c r="G3" s="19">
        <f>$E3-($B3*$C3)</f>
        <v>-518.0164999999979</v>
      </c>
    </row>
    <row r="4" spans="1:7" s="1" customFormat="1" ht="18.75">
      <c r="A4" s="20" t="s">
        <v>30</v>
      </c>
      <c r="B4" s="21">
        <v>1000</v>
      </c>
      <c r="C4" s="19">
        <v>27.59</v>
      </c>
      <c r="D4" s="19">
        <v>22.2</v>
      </c>
      <c r="E4" s="19">
        <f>$B4*$D4</f>
        <v>22200</v>
      </c>
      <c r="F4" s="26">
        <f>$E4/$E$17</f>
        <v>0.15810886133398833</v>
      </c>
      <c r="G4" s="19">
        <f>$E4-($B4*$C4)</f>
        <v>-5390</v>
      </c>
    </row>
    <row r="5" spans="1:7" s="1" customFormat="1" ht="18.75">
      <c r="A5" s="20"/>
      <c r="B5" s="21"/>
      <c r="C5" s="19"/>
      <c r="D5" s="19"/>
      <c r="E5" s="19"/>
      <c r="F5" s="26"/>
      <c r="G5" s="19"/>
    </row>
    <row r="6" spans="1:9" s="1" customFormat="1" ht="18.75">
      <c r="A6" s="33"/>
      <c r="B6" s="33"/>
      <c r="C6" s="61"/>
      <c r="D6" s="33"/>
      <c r="E6" s="33"/>
      <c r="F6" s="33"/>
      <c r="G6" s="33"/>
      <c r="I6" s="7"/>
    </row>
    <row r="7" spans="1:7" s="1" customFormat="1" ht="18.75">
      <c r="A7" s="20"/>
      <c r="B7" s="21"/>
      <c r="C7" s="19"/>
      <c r="D7" s="19"/>
      <c r="E7" s="19"/>
      <c r="F7" s="26"/>
      <c r="G7" s="19"/>
    </row>
    <row r="8" spans="1:7" s="1" customFormat="1" ht="18.75">
      <c r="A8" s="33"/>
      <c r="B8" s="33"/>
      <c r="C8" s="33"/>
      <c r="D8" s="33"/>
      <c r="E8" s="33"/>
      <c r="F8" s="33"/>
      <c r="G8" s="33"/>
    </row>
    <row r="9" spans="1:7" s="1" customFormat="1" ht="20.25">
      <c r="A9" s="20"/>
      <c r="B9" s="21"/>
      <c r="C9" s="19"/>
      <c r="D9" s="19"/>
      <c r="E9" s="27"/>
      <c r="F9" s="26"/>
      <c r="G9" s="27"/>
    </row>
    <row r="10" spans="1:7" s="1" customFormat="1" ht="20.25">
      <c r="A10" s="73" t="s">
        <v>35</v>
      </c>
      <c r="B10" s="73"/>
      <c r="C10" s="35"/>
      <c r="D10" s="35"/>
      <c r="E10" s="36">
        <f>SUM($E3:$E9)</f>
        <v>90600</v>
      </c>
      <c r="F10" s="37">
        <f>SUM($F3:$F9)</f>
        <v>0.6452550827414119</v>
      </c>
      <c r="G10" s="27">
        <f>SUM($G3:$G9)</f>
        <v>-5908.016499999998</v>
      </c>
    </row>
    <row r="11" spans="2:7" s="1" customFormat="1" ht="18.75">
      <c r="B11" s="3"/>
      <c r="C11" s="2"/>
      <c r="D11" s="2"/>
      <c r="E11" s="2"/>
      <c r="F11" s="2"/>
      <c r="G11" s="2"/>
    </row>
    <row r="12" spans="1:7" s="1" customFormat="1" ht="18.75">
      <c r="A12" s="69" t="s">
        <v>17</v>
      </c>
      <c r="B12" s="69"/>
      <c r="C12" s="19"/>
      <c r="D12" s="19"/>
      <c r="E12" s="19">
        <v>49809.587499999994</v>
      </c>
      <c r="F12" s="2"/>
      <c r="G12" s="2"/>
    </row>
    <row r="13" spans="1:7" s="1" customFormat="1" ht="18.75">
      <c r="A13" s="69" t="s">
        <v>14</v>
      </c>
      <c r="B13" s="69"/>
      <c r="C13" s="19"/>
      <c r="D13" s="19"/>
      <c r="E13" s="19">
        <v>0</v>
      </c>
      <c r="F13" s="2"/>
      <c r="G13" s="2"/>
    </row>
    <row r="14" spans="1:7" s="1" customFormat="1" ht="18.75">
      <c r="A14" s="69" t="s">
        <v>78</v>
      </c>
      <c r="B14" s="69"/>
      <c r="C14" s="19"/>
      <c r="D14" s="19"/>
      <c r="E14" s="19">
        <v>0</v>
      </c>
      <c r="F14" s="2"/>
      <c r="G14" s="2"/>
    </row>
    <row r="15" spans="1:6" s="1" customFormat="1" ht="20.25">
      <c r="A15" s="70" t="s">
        <v>19</v>
      </c>
      <c r="B15" s="70"/>
      <c r="C15" s="38"/>
      <c r="D15" s="38"/>
      <c r="E15" s="36">
        <f>SUM($E12:$E14)</f>
        <v>49809.587499999994</v>
      </c>
      <c r="F15" s="37">
        <f>$E15/$E$17</f>
        <v>0.3547449172585882</v>
      </c>
    </row>
    <row r="16" spans="1:5" s="1" customFormat="1" ht="18.75">
      <c r="A16" s="18"/>
      <c r="B16" s="18"/>
      <c r="E16" s="2"/>
    </row>
    <row r="17" spans="1:6" s="1" customFormat="1" ht="20.25">
      <c r="A17" s="70" t="s">
        <v>20</v>
      </c>
      <c r="B17" s="70"/>
      <c r="C17" s="38"/>
      <c r="D17" s="38"/>
      <c r="E17" s="36">
        <f>SUM($E10,$E15)</f>
        <v>140409.5875</v>
      </c>
      <c r="F17" s="37">
        <f>SUM($F10,$F15)</f>
        <v>1</v>
      </c>
    </row>
    <row r="18" spans="1:5" s="1" customFormat="1" ht="18.75">
      <c r="A18" s="71" t="s">
        <v>33</v>
      </c>
      <c r="B18" s="71"/>
      <c r="C18" s="20"/>
      <c r="D18" s="20"/>
      <c r="E18" s="21">
        <v>13963</v>
      </c>
    </row>
    <row r="19" spans="1:8" s="1" customFormat="1" ht="21.75">
      <c r="A19" s="68" t="s">
        <v>34</v>
      </c>
      <c r="B19" s="68"/>
      <c r="C19" s="38"/>
      <c r="D19" s="38"/>
      <c r="E19" s="39">
        <f>E$17/E$18</f>
        <v>10.055832378428704</v>
      </c>
      <c r="F19" s="4"/>
      <c r="G19" s="6"/>
      <c r="H19" s="62"/>
    </row>
  </sheetData>
  <mergeCells count="9">
    <mergeCell ref="A19:B19"/>
    <mergeCell ref="A14:B14"/>
    <mergeCell ref="A15:B15"/>
    <mergeCell ref="A17:B17"/>
    <mergeCell ref="A18:B18"/>
    <mergeCell ref="A1:G1"/>
    <mergeCell ref="A10:B10"/>
    <mergeCell ref="A12:B12"/>
    <mergeCell ref="A13:B1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15" sqref="E15"/>
    </sheetView>
  </sheetViews>
  <sheetFormatPr defaultColWidth="9.140625" defaultRowHeight="21.75"/>
  <cols>
    <col min="1" max="1" width="10.7109375" style="0" customWidth="1"/>
    <col min="2" max="2" width="10.28125" style="0" customWidth="1"/>
    <col min="3" max="3" width="10.00390625" style="0" customWidth="1"/>
    <col min="4" max="4" width="11.140625" style="0" customWidth="1"/>
    <col min="5" max="5" width="12.57421875" style="0" customWidth="1"/>
    <col min="6" max="6" width="10.57421875" style="0" customWidth="1"/>
    <col min="7" max="7" width="13.00390625" style="0" customWidth="1"/>
  </cols>
  <sheetData>
    <row r="1" spans="1:7" s="8" customFormat="1" ht="21">
      <c r="A1" s="72" t="s">
        <v>92</v>
      </c>
      <c r="B1" s="72"/>
      <c r="C1" s="72"/>
      <c r="D1" s="72"/>
      <c r="E1" s="72"/>
      <c r="F1" s="72"/>
      <c r="G1" s="72"/>
    </row>
    <row r="2" spans="1:7" s="1" customFormat="1" ht="18.75">
      <c r="A2" s="34" t="s">
        <v>2</v>
      </c>
      <c r="B2" s="34" t="s">
        <v>4</v>
      </c>
      <c r="C2" s="34" t="s">
        <v>9</v>
      </c>
      <c r="D2" s="34" t="s">
        <v>10</v>
      </c>
      <c r="E2" s="34" t="s">
        <v>11</v>
      </c>
      <c r="F2" s="34" t="s">
        <v>12</v>
      </c>
      <c r="G2" s="34" t="s">
        <v>27</v>
      </c>
    </row>
    <row r="3" spans="1:7" s="1" customFormat="1" ht="18.75">
      <c r="A3" s="20" t="s">
        <v>32</v>
      </c>
      <c r="B3" s="21">
        <v>1300</v>
      </c>
      <c r="C3" s="19">
        <f>-((-36.67*500)+(TRANSACTION!$H$36)+(TRANSACTION!$H$39)+(TRANSACTION!$H$42))/1800</f>
        <v>38.28778694444444</v>
      </c>
      <c r="D3" s="19">
        <v>38.5</v>
      </c>
      <c r="E3" s="19">
        <f>$B3*$D3</f>
        <v>50050</v>
      </c>
      <c r="F3" s="26">
        <f>$E3/$E$17</f>
        <v>0.3532898137458573</v>
      </c>
      <c r="G3" s="19">
        <f>$E3-($B3*$C3)</f>
        <v>275.8769722222278</v>
      </c>
    </row>
    <row r="4" spans="1:7" s="1" customFormat="1" ht="18.75">
      <c r="A4" s="20" t="s">
        <v>30</v>
      </c>
      <c r="B4" s="21">
        <v>1000</v>
      </c>
      <c r="C4" s="19">
        <v>27.59</v>
      </c>
      <c r="D4" s="19">
        <v>22.6</v>
      </c>
      <c r="E4" s="19">
        <f>$B4*$D4</f>
        <v>22600</v>
      </c>
      <c r="F4" s="26">
        <f>$E4/$E$17</f>
        <v>0.1595274683447827</v>
      </c>
      <c r="G4" s="19">
        <f>$E4-($B4*$C4)</f>
        <v>-4990</v>
      </c>
    </row>
    <row r="5" spans="1:7" s="1" customFormat="1" ht="18.75">
      <c r="A5" s="20"/>
      <c r="B5" s="21"/>
      <c r="C5" s="19"/>
      <c r="D5" s="19"/>
      <c r="E5" s="19"/>
      <c r="F5" s="26"/>
      <c r="G5" s="19"/>
    </row>
    <row r="6" spans="1:9" s="1" customFormat="1" ht="18.75">
      <c r="A6" s="33"/>
      <c r="B6" s="33"/>
      <c r="C6" s="61"/>
      <c r="D6" s="33"/>
      <c r="E6" s="33"/>
      <c r="F6" s="33"/>
      <c r="G6" s="33"/>
      <c r="I6" s="7"/>
    </row>
    <row r="7" spans="1:7" s="1" customFormat="1" ht="18.75">
      <c r="A7" s="20"/>
      <c r="B7" s="21"/>
      <c r="C7" s="19"/>
      <c r="D7" s="19"/>
      <c r="E7" s="19"/>
      <c r="F7" s="26"/>
      <c r="G7" s="19"/>
    </row>
    <row r="8" spans="1:7" s="1" customFormat="1" ht="18.75">
      <c r="A8" s="33"/>
      <c r="B8" s="33"/>
      <c r="C8" s="33"/>
      <c r="D8" s="33"/>
      <c r="E8" s="33"/>
      <c r="F8" s="33"/>
      <c r="G8" s="33"/>
    </row>
    <row r="9" spans="1:7" s="1" customFormat="1" ht="20.25">
      <c r="A9" s="20"/>
      <c r="B9" s="21"/>
      <c r="C9" s="19"/>
      <c r="D9" s="19"/>
      <c r="E9" s="27"/>
      <c r="F9" s="26"/>
      <c r="G9" s="27"/>
    </row>
    <row r="10" spans="1:7" s="1" customFormat="1" ht="20.25">
      <c r="A10" s="73" t="s">
        <v>35</v>
      </c>
      <c r="B10" s="73"/>
      <c r="C10" s="35"/>
      <c r="D10" s="35"/>
      <c r="E10" s="36">
        <f>SUM($E3:$E9)</f>
        <v>72650</v>
      </c>
      <c r="F10" s="37">
        <f>SUM($F3:$F9)</f>
        <v>0.51281728209064</v>
      </c>
      <c r="G10" s="27">
        <f>SUM($G3:$G9)</f>
        <v>-4714.123027777772</v>
      </c>
    </row>
    <row r="11" spans="2:7" s="1" customFormat="1" ht="18.75">
      <c r="B11" s="3"/>
      <c r="C11" s="2"/>
      <c r="D11" s="2"/>
      <c r="E11" s="2"/>
      <c r="F11" s="2"/>
      <c r="G11" s="2"/>
    </row>
    <row r="12" spans="1:7" s="1" customFormat="1" ht="18.75">
      <c r="A12" s="69" t="s">
        <v>17</v>
      </c>
      <c r="B12" s="69"/>
      <c r="C12" s="19"/>
      <c r="D12" s="19"/>
      <c r="E12" s="19">
        <v>49809.587499999994</v>
      </c>
      <c r="F12" s="2"/>
      <c r="G12" s="2"/>
    </row>
    <row r="13" spans="1:7" s="1" customFormat="1" ht="18.75">
      <c r="A13" s="69" t="s">
        <v>14</v>
      </c>
      <c r="B13" s="69"/>
      <c r="C13" s="19"/>
      <c r="D13" s="19"/>
      <c r="E13" s="19">
        <f>TRANSACTION!$H$45</f>
        <v>19208.805</v>
      </c>
      <c r="F13" s="2"/>
      <c r="G13" s="2"/>
    </row>
    <row r="14" spans="1:7" s="1" customFormat="1" ht="18.75">
      <c r="A14" s="69" t="s">
        <v>78</v>
      </c>
      <c r="B14" s="69"/>
      <c r="C14" s="19"/>
      <c r="D14" s="19"/>
      <c r="E14" s="19">
        <v>0</v>
      </c>
      <c r="F14" s="2"/>
      <c r="G14" s="2"/>
    </row>
    <row r="15" spans="1:6" s="1" customFormat="1" ht="20.25">
      <c r="A15" s="70" t="s">
        <v>19</v>
      </c>
      <c r="B15" s="70"/>
      <c r="C15" s="38"/>
      <c r="D15" s="38"/>
      <c r="E15" s="36">
        <f>SUM($E12:$E14)</f>
        <v>69018.39249999999</v>
      </c>
      <c r="F15" s="37">
        <f>$E15/$E$17</f>
        <v>0.48718271790936</v>
      </c>
    </row>
    <row r="16" spans="1:5" s="1" customFormat="1" ht="18.75">
      <c r="A16" s="18"/>
      <c r="B16" s="18"/>
      <c r="E16" s="2"/>
    </row>
    <row r="17" spans="1:6" s="1" customFormat="1" ht="20.25">
      <c r="A17" s="70" t="s">
        <v>20</v>
      </c>
      <c r="B17" s="70"/>
      <c r="C17" s="38"/>
      <c r="D17" s="38"/>
      <c r="E17" s="36">
        <f>SUM($E10,$E15)</f>
        <v>141668.3925</v>
      </c>
      <c r="F17" s="37">
        <f>SUM($F10,$F15)</f>
        <v>1</v>
      </c>
    </row>
    <row r="18" spans="1:5" s="1" customFormat="1" ht="18.75">
      <c r="A18" s="71" t="s">
        <v>33</v>
      </c>
      <c r="B18" s="71"/>
      <c r="C18" s="20"/>
      <c r="D18" s="20"/>
      <c r="E18" s="21">
        <v>13963</v>
      </c>
    </row>
    <row r="19" spans="1:8" s="1" customFormat="1" ht="21.75">
      <c r="A19" s="68" t="s">
        <v>34</v>
      </c>
      <c r="B19" s="68"/>
      <c r="C19" s="38"/>
      <c r="D19" s="38"/>
      <c r="E19" s="39">
        <f>E$17/E$18</f>
        <v>10.145985282532406</v>
      </c>
      <c r="F19" s="4"/>
      <c r="G19" s="6"/>
      <c r="H19" s="62"/>
    </row>
  </sheetData>
  <mergeCells count="9">
    <mergeCell ref="A1:G1"/>
    <mergeCell ref="A10:B10"/>
    <mergeCell ref="A12:B12"/>
    <mergeCell ref="A13:B13"/>
    <mergeCell ref="A19:B19"/>
    <mergeCell ref="A14:B14"/>
    <mergeCell ref="A15:B15"/>
    <mergeCell ref="A17:B17"/>
    <mergeCell ref="A18:B1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F19" sqref="F19"/>
    </sheetView>
  </sheetViews>
  <sheetFormatPr defaultColWidth="9.140625" defaultRowHeight="21.75"/>
  <cols>
    <col min="1" max="1" width="10.7109375" style="0" customWidth="1"/>
    <col min="2" max="2" width="10.28125" style="0" customWidth="1"/>
    <col min="3" max="3" width="10.00390625" style="0" customWidth="1"/>
    <col min="4" max="4" width="11.140625" style="0" customWidth="1"/>
    <col min="5" max="5" width="12.57421875" style="0" customWidth="1"/>
    <col min="6" max="6" width="10.57421875" style="0" customWidth="1"/>
    <col min="7" max="7" width="13.00390625" style="0" customWidth="1"/>
  </cols>
  <sheetData>
    <row r="1" spans="1:7" s="8" customFormat="1" ht="21">
      <c r="A1" s="72" t="s">
        <v>94</v>
      </c>
      <c r="B1" s="72"/>
      <c r="C1" s="72"/>
      <c r="D1" s="72"/>
      <c r="E1" s="72"/>
      <c r="F1" s="72"/>
      <c r="G1" s="72"/>
    </row>
    <row r="2" spans="1:7" s="1" customFormat="1" ht="18.75">
      <c r="A2" s="34" t="s">
        <v>2</v>
      </c>
      <c r="B2" s="34" t="s">
        <v>4</v>
      </c>
      <c r="C2" s="34" t="s">
        <v>9</v>
      </c>
      <c r="D2" s="34" t="s">
        <v>10</v>
      </c>
      <c r="E2" s="34" t="s">
        <v>11</v>
      </c>
      <c r="F2" s="34" t="s">
        <v>12</v>
      </c>
      <c r="G2" s="34" t="s">
        <v>27</v>
      </c>
    </row>
    <row r="3" spans="1:7" s="1" customFormat="1" ht="18.75">
      <c r="A3" s="20" t="s">
        <v>32</v>
      </c>
      <c r="B3" s="21">
        <v>1300</v>
      </c>
      <c r="C3" s="19">
        <f>-((-36.67*500)+(TRANSACTION!$H$36)+(TRANSACTION!$H$39)+(TRANSACTION!$H$42))/1800</f>
        <v>38.28778694444444</v>
      </c>
      <c r="D3" s="19">
        <v>39</v>
      </c>
      <c r="E3" s="19">
        <f>$B3*$D3</f>
        <v>50700</v>
      </c>
      <c r="F3" s="26">
        <f>$E3/$E$17</f>
        <v>0.35524503262605067</v>
      </c>
      <c r="G3" s="19">
        <f>$E3-($B3*$C3)</f>
        <v>925.8769722222278</v>
      </c>
    </row>
    <row r="4" spans="1:7" s="1" customFormat="1" ht="18.75">
      <c r="A4" s="20" t="s">
        <v>30</v>
      </c>
      <c r="B4" s="21">
        <v>1000</v>
      </c>
      <c r="C4" s="19">
        <v>27.59</v>
      </c>
      <c r="D4" s="19">
        <v>23</v>
      </c>
      <c r="E4" s="19">
        <f>$B4*$D4</f>
        <v>23000</v>
      </c>
      <c r="F4" s="26">
        <f>$E4/$E$17</f>
        <v>0.16115652367651215</v>
      </c>
      <c r="G4" s="19">
        <f>$E4-($B4*$C4)</f>
        <v>-4590</v>
      </c>
    </row>
    <row r="5" spans="1:7" s="1" customFormat="1" ht="18.75">
      <c r="A5" s="20"/>
      <c r="B5" s="21"/>
      <c r="C5" s="19"/>
      <c r="D5" s="19"/>
      <c r="E5" s="19"/>
      <c r="F5" s="26"/>
      <c r="G5" s="19"/>
    </row>
    <row r="6" spans="1:9" s="1" customFormat="1" ht="18.75">
      <c r="A6" s="33"/>
      <c r="B6" s="33"/>
      <c r="C6" s="61"/>
      <c r="D6" s="33"/>
      <c r="E6" s="33"/>
      <c r="F6" s="33"/>
      <c r="G6" s="33"/>
      <c r="I6" s="7"/>
    </row>
    <row r="7" spans="1:7" s="1" customFormat="1" ht="18.75">
      <c r="A7" s="20"/>
      <c r="B7" s="21"/>
      <c r="C7" s="19"/>
      <c r="D7" s="19"/>
      <c r="E7" s="19"/>
      <c r="F7" s="26"/>
      <c r="G7" s="19"/>
    </row>
    <row r="8" spans="1:7" s="1" customFormat="1" ht="18.75">
      <c r="A8" s="33"/>
      <c r="B8" s="33"/>
      <c r="C8" s="33"/>
      <c r="D8" s="33"/>
      <c r="E8" s="33"/>
      <c r="F8" s="33"/>
      <c r="G8" s="33"/>
    </row>
    <row r="9" spans="1:7" s="1" customFormat="1" ht="20.25">
      <c r="A9" s="20"/>
      <c r="B9" s="21"/>
      <c r="C9" s="19"/>
      <c r="D9" s="19"/>
      <c r="E9" s="27"/>
      <c r="F9" s="26"/>
      <c r="G9" s="27"/>
    </row>
    <row r="10" spans="1:7" s="1" customFormat="1" ht="20.25">
      <c r="A10" s="73" t="s">
        <v>35</v>
      </c>
      <c r="B10" s="73"/>
      <c r="C10" s="35"/>
      <c r="D10" s="35"/>
      <c r="E10" s="36">
        <f>SUM($E3:$E9)</f>
        <v>73700</v>
      </c>
      <c r="F10" s="37">
        <f>SUM($F3:$F9)</f>
        <v>0.5164015563025628</v>
      </c>
      <c r="G10" s="27">
        <f>SUM($G3:$G9)</f>
        <v>-3664.123027777772</v>
      </c>
    </row>
    <row r="11" spans="2:7" s="1" customFormat="1" ht="18.75">
      <c r="B11" s="3"/>
      <c r="C11" s="2"/>
      <c r="D11" s="2"/>
      <c r="E11" s="2"/>
      <c r="F11" s="2"/>
      <c r="G11" s="2"/>
    </row>
    <row r="12" spans="1:7" s="1" customFormat="1" ht="18.75">
      <c r="A12" s="69" t="s">
        <v>17</v>
      </c>
      <c r="B12" s="69"/>
      <c r="C12" s="19"/>
      <c r="D12" s="19"/>
      <c r="E12" s="19">
        <v>69018.39249999999</v>
      </c>
      <c r="F12" s="2"/>
      <c r="G12" s="2"/>
    </row>
    <row r="13" spans="1:7" s="1" customFormat="1" ht="18.75">
      <c r="A13" s="69" t="s">
        <v>14</v>
      </c>
      <c r="B13" s="69"/>
      <c r="C13" s="19"/>
      <c r="D13" s="19"/>
      <c r="E13" s="19">
        <v>0</v>
      </c>
      <c r="F13" s="2"/>
      <c r="G13" s="2"/>
    </row>
    <row r="14" spans="1:7" s="1" customFormat="1" ht="18.75">
      <c r="A14" s="69" t="s">
        <v>78</v>
      </c>
      <c r="B14" s="69"/>
      <c r="C14" s="19"/>
      <c r="D14" s="19"/>
      <c r="E14" s="19">
        <v>0</v>
      </c>
      <c r="F14" s="2"/>
      <c r="G14" s="2"/>
    </row>
    <row r="15" spans="1:6" s="1" customFormat="1" ht="20.25">
      <c r="A15" s="70" t="s">
        <v>19</v>
      </c>
      <c r="B15" s="70"/>
      <c r="C15" s="38"/>
      <c r="D15" s="38"/>
      <c r="E15" s="36">
        <f>SUM($E12:$E14)</f>
        <v>69018.39249999999</v>
      </c>
      <c r="F15" s="37">
        <f>$E15/$E$17</f>
        <v>0.4835984436974372</v>
      </c>
    </row>
    <row r="16" spans="1:5" s="1" customFormat="1" ht="18.75">
      <c r="A16" s="18"/>
      <c r="B16" s="18"/>
      <c r="E16" s="2"/>
    </row>
    <row r="17" spans="1:6" s="1" customFormat="1" ht="20.25">
      <c r="A17" s="70" t="s">
        <v>20</v>
      </c>
      <c r="B17" s="70"/>
      <c r="C17" s="38"/>
      <c r="D17" s="38"/>
      <c r="E17" s="36">
        <f>SUM($E10,$E15)</f>
        <v>142718.3925</v>
      </c>
      <c r="F17" s="37">
        <f>SUM($F10,$F15)</f>
        <v>1</v>
      </c>
    </row>
    <row r="18" spans="1:5" s="1" customFormat="1" ht="18.75">
      <c r="A18" s="71" t="s">
        <v>33</v>
      </c>
      <c r="B18" s="71"/>
      <c r="C18" s="20"/>
      <c r="D18" s="20"/>
      <c r="E18" s="21">
        <v>13963</v>
      </c>
    </row>
    <row r="19" spans="1:8" s="1" customFormat="1" ht="21.75">
      <c r="A19" s="68" t="s">
        <v>34</v>
      </c>
      <c r="B19" s="68"/>
      <c r="C19" s="38"/>
      <c r="D19" s="38"/>
      <c r="E19" s="39">
        <f>E$17/E$18</f>
        <v>10.221184022058296</v>
      </c>
      <c r="F19" s="4"/>
      <c r="G19" s="6"/>
      <c r="H19" s="62"/>
    </row>
  </sheetData>
  <mergeCells count="9">
    <mergeCell ref="A19:B19"/>
    <mergeCell ref="A14:B14"/>
    <mergeCell ref="A15:B15"/>
    <mergeCell ref="A17:B17"/>
    <mergeCell ref="A18:B18"/>
    <mergeCell ref="A1:G1"/>
    <mergeCell ref="A10:B10"/>
    <mergeCell ref="A12:B12"/>
    <mergeCell ref="A13:B1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18" sqref="G18"/>
    </sheetView>
  </sheetViews>
  <sheetFormatPr defaultColWidth="9.140625" defaultRowHeight="21.75"/>
  <cols>
    <col min="1" max="1" width="10.7109375" style="0" customWidth="1"/>
    <col min="2" max="2" width="10.28125" style="0" customWidth="1"/>
    <col min="3" max="3" width="10.00390625" style="0" customWidth="1"/>
    <col min="4" max="4" width="11.140625" style="0" customWidth="1"/>
    <col min="5" max="5" width="12.57421875" style="0" customWidth="1"/>
    <col min="6" max="6" width="10.57421875" style="0" customWidth="1"/>
    <col min="7" max="7" width="13.00390625" style="0" customWidth="1"/>
  </cols>
  <sheetData>
    <row r="1" spans="1:7" s="8" customFormat="1" ht="21">
      <c r="A1" s="72" t="s">
        <v>96</v>
      </c>
      <c r="B1" s="72"/>
      <c r="C1" s="72"/>
      <c r="D1" s="72"/>
      <c r="E1" s="72"/>
      <c r="F1" s="72"/>
      <c r="G1" s="72"/>
    </row>
    <row r="2" spans="1:7" s="1" customFormat="1" ht="18.75">
      <c r="A2" s="34" t="s">
        <v>2</v>
      </c>
      <c r="B2" s="34" t="s">
        <v>4</v>
      </c>
      <c r="C2" s="34" t="s">
        <v>9</v>
      </c>
      <c r="D2" s="34" t="s">
        <v>10</v>
      </c>
      <c r="E2" s="34" t="s">
        <v>11</v>
      </c>
      <c r="F2" s="34" t="s">
        <v>12</v>
      </c>
      <c r="G2" s="34" t="s">
        <v>27</v>
      </c>
    </row>
    <row r="3" spans="1:7" s="1" customFormat="1" ht="18.75">
      <c r="A3" s="20" t="s">
        <v>32</v>
      </c>
      <c r="B3" s="21">
        <v>1300</v>
      </c>
      <c r="C3" s="19">
        <f>-((-36.67*500)+(TRANSACTION!$H$36)+(TRANSACTION!$H$39)+(TRANSACTION!$H$42))/1800</f>
        <v>38.28778694444444</v>
      </c>
      <c r="D3" s="19">
        <v>38</v>
      </c>
      <c r="E3" s="19">
        <f>$B3*$D3</f>
        <v>49400</v>
      </c>
      <c r="F3" s="26">
        <f>$E3/$E$17</f>
        <v>0.34808737000033313</v>
      </c>
      <c r="G3" s="19">
        <f>$E3-($B3*$C3)</f>
        <v>-374.1230277777722</v>
      </c>
    </row>
    <row r="4" spans="1:7" s="1" customFormat="1" ht="18.75">
      <c r="A4" s="20" t="s">
        <v>30</v>
      </c>
      <c r="B4" s="21">
        <v>1000</v>
      </c>
      <c r="C4" s="19">
        <v>27.59</v>
      </c>
      <c r="D4" s="19">
        <v>23.5</v>
      </c>
      <c r="E4" s="19">
        <f>$B4*$D4</f>
        <v>23500</v>
      </c>
      <c r="F4" s="26">
        <f>$E4/$E$17</f>
        <v>0.16558812135643378</v>
      </c>
      <c r="G4" s="19">
        <f>$E4-($B4*$C4)</f>
        <v>-4090</v>
      </c>
    </row>
    <row r="5" spans="1:7" s="1" customFormat="1" ht="18.75">
      <c r="A5" s="20"/>
      <c r="B5" s="21"/>
      <c r="C5" s="19"/>
      <c r="D5" s="19"/>
      <c r="E5" s="19"/>
      <c r="F5" s="26"/>
      <c r="G5" s="19"/>
    </row>
    <row r="6" spans="1:9" s="1" customFormat="1" ht="18.75">
      <c r="A6" s="33"/>
      <c r="B6" s="33"/>
      <c r="C6" s="61"/>
      <c r="D6" s="33"/>
      <c r="E6" s="33"/>
      <c r="F6" s="33"/>
      <c r="G6" s="33"/>
      <c r="I6" s="7"/>
    </row>
    <row r="7" spans="1:7" s="1" customFormat="1" ht="18.75">
      <c r="A7" s="20"/>
      <c r="B7" s="21"/>
      <c r="C7" s="19"/>
      <c r="D7" s="19"/>
      <c r="E7" s="19"/>
      <c r="F7" s="26"/>
      <c r="G7" s="19"/>
    </row>
    <row r="8" spans="1:7" s="1" customFormat="1" ht="18.75">
      <c r="A8" s="33"/>
      <c r="B8" s="33"/>
      <c r="C8" s="33"/>
      <c r="D8" s="33"/>
      <c r="E8" s="33"/>
      <c r="F8" s="33"/>
      <c r="G8" s="33"/>
    </row>
    <row r="9" spans="1:7" s="1" customFormat="1" ht="20.25">
      <c r="A9" s="20"/>
      <c r="B9" s="21"/>
      <c r="C9" s="19"/>
      <c r="D9" s="19"/>
      <c r="E9" s="27"/>
      <c r="F9" s="26"/>
      <c r="G9" s="27"/>
    </row>
    <row r="10" spans="1:7" s="1" customFormat="1" ht="20.25">
      <c r="A10" s="73" t="s">
        <v>35</v>
      </c>
      <c r="B10" s="73"/>
      <c r="C10" s="35"/>
      <c r="D10" s="35"/>
      <c r="E10" s="36">
        <f>SUM($E3:$E9)</f>
        <v>72900</v>
      </c>
      <c r="F10" s="37">
        <f>SUM($F3:$F9)</f>
        <v>0.5136754913567669</v>
      </c>
      <c r="G10" s="27">
        <f>SUM($G3:$G9)</f>
        <v>-4464.123027777772</v>
      </c>
    </row>
    <row r="11" spans="2:7" s="1" customFormat="1" ht="18.75">
      <c r="B11" s="3"/>
      <c r="C11" s="2"/>
      <c r="D11" s="2"/>
      <c r="E11" s="2"/>
      <c r="F11" s="2"/>
      <c r="G11" s="2"/>
    </row>
    <row r="12" spans="1:7" s="1" customFormat="1" ht="18.75">
      <c r="A12" s="69" t="s">
        <v>17</v>
      </c>
      <c r="B12" s="69"/>
      <c r="C12" s="19"/>
      <c r="D12" s="19"/>
      <c r="E12" s="19">
        <v>69018.39249999999</v>
      </c>
      <c r="F12" s="2"/>
      <c r="G12" s="2"/>
    </row>
    <row r="13" spans="1:7" s="1" customFormat="1" ht="18.75">
      <c r="A13" s="69" t="s">
        <v>14</v>
      </c>
      <c r="B13" s="69"/>
      <c r="C13" s="19"/>
      <c r="D13" s="19"/>
      <c r="E13" s="19">
        <v>0</v>
      </c>
      <c r="F13" s="2"/>
      <c r="G13" s="2"/>
    </row>
    <row r="14" spans="1:7" s="1" customFormat="1" ht="18.75">
      <c r="A14" s="69" t="s">
        <v>78</v>
      </c>
      <c r="B14" s="69"/>
      <c r="C14" s="19"/>
      <c r="D14" s="19"/>
      <c r="E14" s="19">
        <v>0</v>
      </c>
      <c r="F14" s="2"/>
      <c r="G14" s="2"/>
    </row>
    <row r="15" spans="1:6" s="1" customFormat="1" ht="20.25">
      <c r="A15" s="70" t="s">
        <v>19</v>
      </c>
      <c r="B15" s="70"/>
      <c r="C15" s="38"/>
      <c r="D15" s="38"/>
      <c r="E15" s="36">
        <f>SUM($E12:$E14)</f>
        <v>69018.39249999999</v>
      </c>
      <c r="F15" s="37">
        <f>$E15/$E$17</f>
        <v>0.48632450864323307</v>
      </c>
    </row>
    <row r="16" spans="1:5" s="1" customFormat="1" ht="18.75">
      <c r="A16" s="18"/>
      <c r="B16" s="18"/>
      <c r="E16" s="2"/>
    </row>
    <row r="17" spans="1:6" s="1" customFormat="1" ht="20.25">
      <c r="A17" s="70" t="s">
        <v>20</v>
      </c>
      <c r="B17" s="70"/>
      <c r="C17" s="38"/>
      <c r="D17" s="38"/>
      <c r="E17" s="36">
        <f>SUM($E10,$E15)</f>
        <v>141918.3925</v>
      </c>
      <c r="F17" s="37">
        <f>SUM($F10,$F15)</f>
        <v>1</v>
      </c>
    </row>
    <row r="18" spans="1:5" s="1" customFormat="1" ht="18.75">
      <c r="A18" s="71" t="s">
        <v>33</v>
      </c>
      <c r="B18" s="71"/>
      <c r="C18" s="20"/>
      <c r="D18" s="20"/>
      <c r="E18" s="21">
        <v>13963</v>
      </c>
    </row>
    <row r="19" spans="1:8" s="1" customFormat="1" ht="21.75">
      <c r="A19" s="68" t="s">
        <v>34</v>
      </c>
      <c r="B19" s="68"/>
      <c r="C19" s="38"/>
      <c r="D19" s="38"/>
      <c r="E19" s="39">
        <f>E$17/E$18</f>
        <v>10.163889744324285</v>
      </c>
      <c r="F19" s="4"/>
      <c r="G19" s="6"/>
      <c r="H19" s="62"/>
    </row>
  </sheetData>
  <mergeCells count="9">
    <mergeCell ref="A1:G1"/>
    <mergeCell ref="A10:B10"/>
    <mergeCell ref="A12:B12"/>
    <mergeCell ref="A13:B13"/>
    <mergeCell ref="A19:B19"/>
    <mergeCell ref="A14:B14"/>
    <mergeCell ref="A15:B15"/>
    <mergeCell ref="A17:B17"/>
    <mergeCell ref="A18:B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ray</cp:lastModifiedBy>
  <dcterms:created xsi:type="dcterms:W3CDTF">2002-10-20T17:23:22Z</dcterms:created>
  <dcterms:modified xsi:type="dcterms:W3CDTF">2002-12-27T09:46:15Z</dcterms:modified>
  <cp:category/>
  <cp:version/>
  <cp:contentType/>
  <cp:contentStatus/>
</cp:coreProperties>
</file>