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tabRatio="599" activeTab="1"/>
  </bookViews>
  <sheets>
    <sheet name="y" sheetId="1" r:id="rId1"/>
    <sheet name="Z" sheetId="2" r:id="rId2"/>
  </sheets>
  <definedNames>
    <definedName name="com">#REF!</definedName>
    <definedName name="date">#REF!</definedName>
    <definedName name="dayam">#REF!</definedName>
    <definedName name="netam">#REF!</definedName>
    <definedName name="order">#REF!</definedName>
    <definedName name="pl">#REF!</definedName>
    <definedName name="price">#REF!</definedName>
    <definedName name="stock">#REF!</definedName>
    <definedName name="t3day">#REF!</definedName>
    <definedName name="type">#REF!</definedName>
    <definedName name="vat">#REF!</definedName>
    <definedName name="vol">#REF!</definedName>
    <definedName name="wealth">#REF!</definedName>
    <definedName name="เงินสด">'y'!$K$3:$K$113</definedName>
    <definedName name="กำไรขาดทุน">'y'!$L$3:$L$113</definedName>
    <definedName name="คอม">'y'!$G$3:$G$113</definedName>
    <definedName name="จำนวน">'y'!$E$3:$E$113</definedName>
    <definedName name="ชื่อหุ้น">'y'!$C$3:$C$113</definedName>
    <definedName name="ซื้อขาย">'y'!$D$3:$D$113</definedName>
    <definedName name="ภาษี">'y'!$H$3:$H$113</definedName>
    <definedName name="ราคา">'y'!$F$3:$F$113</definedName>
    <definedName name="วันชำระ">'y'!$B$3:$B$113</definedName>
    <definedName name="วันที่">'y'!$A$3:$A$113</definedName>
    <definedName name="สุทธิ">'y'!$I$3:$I$113</definedName>
    <definedName name="สุทธิทั้งวัน">'y'!$J$3:$J$113</definedName>
  </definedNames>
  <calcPr fullCalcOnLoad="1"/>
</workbook>
</file>

<file path=xl/sharedStrings.xml><?xml version="1.0" encoding="utf-8"?>
<sst xmlns="http://schemas.openxmlformats.org/spreadsheetml/2006/main" count="666" uniqueCount="109">
  <si>
    <t>b</t>
  </si>
  <si>
    <t>s</t>
  </si>
  <si>
    <t>ust</t>
  </si>
  <si>
    <t>uf</t>
  </si>
  <si>
    <t>wg</t>
  </si>
  <si>
    <t xml:space="preserve">Seamico Internet Trading Account (comission 0.20%,no minimum) </t>
  </si>
  <si>
    <t>cirkit-w</t>
  </si>
  <si>
    <t>dtm</t>
  </si>
  <si>
    <t>DATE</t>
  </si>
  <si>
    <t>T+3 DAY</t>
  </si>
  <si>
    <t>STOCK</t>
  </si>
  <si>
    <t>VOLUME</t>
  </si>
  <si>
    <t>PRICE</t>
  </si>
  <si>
    <t>COM</t>
  </si>
  <si>
    <t>VAT</t>
  </si>
  <si>
    <t>NET AMOUNT</t>
  </si>
  <si>
    <t>DAY AMOUNT</t>
  </si>
  <si>
    <t>P/L</t>
  </si>
  <si>
    <t>B/S</t>
  </si>
  <si>
    <t>WED 15/05/02</t>
  </si>
  <si>
    <t>THU 16/05/02</t>
  </si>
  <si>
    <t>bigc</t>
  </si>
  <si>
    <t>FRI 17/05/02</t>
  </si>
  <si>
    <t>ahc</t>
  </si>
  <si>
    <t>MON 20/05/02</t>
  </si>
  <si>
    <t>dep</t>
  </si>
  <si>
    <t>TUE 21/05/02</t>
  </si>
  <si>
    <t>ram</t>
  </si>
  <si>
    <t>WED 22/05/02</t>
  </si>
  <si>
    <t>brc</t>
  </si>
  <si>
    <t>THU 23/05/02</t>
  </si>
  <si>
    <t>svoa</t>
  </si>
  <si>
    <t>BALANCE</t>
  </si>
  <si>
    <t>FRI 24/05/02</t>
  </si>
  <si>
    <t>TUE 28/05/02</t>
  </si>
  <si>
    <t>THU 30/05/02</t>
  </si>
  <si>
    <t>FRI 31/05/02</t>
  </si>
  <si>
    <t>singer</t>
  </si>
  <si>
    <t>WED 05/06/02</t>
  </si>
  <si>
    <t>THU 06/06/02</t>
  </si>
  <si>
    <t>FRI 07/06/02</t>
  </si>
  <si>
    <t>MON 10/06/02</t>
  </si>
  <si>
    <t>THU 13/06/02</t>
  </si>
  <si>
    <t>FRI 14/06/02</t>
  </si>
  <si>
    <t>lpn</t>
  </si>
  <si>
    <t>MON 17/06/02</t>
  </si>
  <si>
    <t>TUE 18/06/02</t>
  </si>
  <si>
    <t>WED 19/06/02</t>
  </si>
  <si>
    <t>patkol</t>
  </si>
  <si>
    <t>THU 20/06/02</t>
  </si>
  <si>
    <t>FRI 21/06/02</t>
  </si>
  <si>
    <t>ccet</t>
  </si>
  <si>
    <t>delta</t>
  </si>
  <si>
    <t>TUE 25/06/02</t>
  </si>
  <si>
    <t>WED 26/06/02</t>
  </si>
  <si>
    <t>THU 27/06/02</t>
  </si>
  <si>
    <t>FRI 28/06/02</t>
  </si>
  <si>
    <t>varo</t>
  </si>
  <si>
    <t>WED 03/07/02</t>
  </si>
  <si>
    <t>THU 04/07/02</t>
  </si>
  <si>
    <t>FRI 05/07/02</t>
  </si>
  <si>
    <t xml:space="preserve">int </t>
  </si>
  <si>
    <t>MON 08/07/02</t>
  </si>
  <si>
    <t>WED 10/07/02</t>
  </si>
  <si>
    <t>gfpt</t>
  </si>
  <si>
    <t>THU 11/07/02</t>
  </si>
  <si>
    <t>FRI 12/07/02</t>
  </si>
  <si>
    <t>TUE 16/07/02</t>
  </si>
  <si>
    <t>TUE 23/07/02</t>
  </si>
  <si>
    <t>WED 24/07/02</t>
  </si>
  <si>
    <t>FRI 26/07/02</t>
  </si>
  <si>
    <t>FRI 27/07</t>
  </si>
  <si>
    <t>PORT</t>
  </si>
  <si>
    <t>CASH</t>
  </si>
  <si>
    <t>TOTAL</t>
  </si>
  <si>
    <t>THU 01/08/02</t>
  </si>
  <si>
    <t>THU 01/08</t>
  </si>
  <si>
    <t>wtd</t>
  </si>
  <si>
    <t>MON 05/08/02</t>
  </si>
  <si>
    <t>TUE 06/08/02</t>
  </si>
  <si>
    <t>FRI 09/08/02</t>
  </si>
  <si>
    <t>WED 14/08/02</t>
  </si>
  <si>
    <t>MON 19/08/02</t>
  </si>
  <si>
    <t>TUE 20/08/02</t>
  </si>
  <si>
    <t>TUE 27/08/02</t>
  </si>
  <si>
    <t>WED 28/08/02</t>
  </si>
  <si>
    <t>FRI 30/08/02</t>
  </si>
  <si>
    <t>MON 02/09/02</t>
  </si>
  <si>
    <t>WED 04/09/02</t>
  </si>
  <si>
    <t>wth</t>
  </si>
  <si>
    <t>MON 16/09/02</t>
  </si>
  <si>
    <t>TUE 17/09/02</t>
  </si>
  <si>
    <t>MON 23/09/02</t>
  </si>
  <si>
    <t>NAME</t>
  </si>
  <si>
    <t xml:space="preserve">   N  </t>
  </si>
  <si>
    <t xml:space="preserve"> COST</t>
  </si>
  <si>
    <t xml:space="preserve">    P/L   </t>
  </si>
  <si>
    <t>TUE 24/09/02</t>
  </si>
  <si>
    <t>FRI 27/09/02</t>
  </si>
  <si>
    <t>THU 03/10/02</t>
  </si>
  <si>
    <t>rojana</t>
  </si>
  <si>
    <t>FRI 04/10/02</t>
  </si>
  <si>
    <t>TUE 08/10/02</t>
  </si>
  <si>
    <t>THU 10/10/02</t>
  </si>
  <si>
    <t>FRI 11/10/02</t>
  </si>
  <si>
    <t>MON 14/10/02</t>
  </si>
  <si>
    <t>FRI 18/10/02</t>
  </si>
  <si>
    <t>MON 21/10/02</t>
  </si>
  <si>
    <t>TUE 22/10/02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</si>
</sst>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_-* #,##0.000_-;\-* #,##0.000_-;_-* &quot;-&quot;??_-;_-@_-"/>
    <numFmt numFmtId="200" formatCode="0.000000"/>
    <numFmt numFmtId="201" formatCode="0.00000"/>
    <numFmt numFmtId="202" formatCode="0.0000"/>
    <numFmt numFmtId="203" formatCode="0.000"/>
    <numFmt numFmtId="204" formatCode="0.0"/>
  </numFmts>
  <fonts count="18">
    <font>
      <sz val="14"/>
      <name val="Cordia New"/>
      <family val="0"/>
    </font>
    <font>
      <sz val="14"/>
      <color indexed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sz val="14"/>
      <color indexed="63"/>
      <name val="Cordia New"/>
      <family val="2"/>
    </font>
    <font>
      <sz val="14"/>
      <color indexed="57"/>
      <name val="Cordia New"/>
      <family val="2"/>
    </font>
    <font>
      <sz val="11"/>
      <name val="Cordia New"/>
      <family val="2"/>
    </font>
    <font>
      <sz val="11"/>
      <color indexed="10"/>
      <name val="Cordia New"/>
      <family val="2"/>
    </font>
    <font>
      <sz val="11"/>
      <color indexed="12"/>
      <name val="Cordia New"/>
      <family val="2"/>
    </font>
    <font>
      <sz val="11"/>
      <color indexed="63"/>
      <name val="Cordia New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4"/>
      <color indexed="8"/>
      <name val="Cordia New"/>
      <family val="2"/>
    </font>
    <font>
      <sz val="14"/>
      <color indexed="17"/>
      <name val="Cordia New"/>
      <family val="2"/>
    </font>
    <font>
      <sz val="11"/>
      <color indexed="57"/>
      <name val="Cordia New"/>
      <family val="2"/>
    </font>
    <font>
      <sz val="11"/>
      <color indexed="53"/>
      <name val="Cordia New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43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43" fontId="4" fillId="11" borderId="0" xfId="15" applyFont="1" applyFill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3" fontId="0" fillId="2" borderId="1" xfId="15" applyFill="1" applyBorder="1" applyAlignment="1">
      <alignment/>
    </xf>
    <xf numFmtId="43" fontId="0" fillId="2" borderId="0" xfId="15" applyFill="1" applyBorder="1" applyAlignment="1">
      <alignment/>
    </xf>
    <xf numFmtId="0" fontId="1" fillId="14" borderId="9" xfId="0" applyFont="1" applyFill="1" applyBorder="1" applyAlignment="1">
      <alignment horizontal="center"/>
    </xf>
    <xf numFmtId="43" fontId="0" fillId="2" borderId="10" xfId="15" applyFill="1" applyBorder="1" applyAlignment="1">
      <alignment/>
    </xf>
    <xf numFmtId="43" fontId="0" fillId="2" borderId="11" xfId="15" applyFill="1" applyBorder="1" applyAlignment="1">
      <alignment/>
    </xf>
    <xf numFmtId="43" fontId="0" fillId="2" borderId="3" xfId="15" applyFill="1" applyBorder="1" applyAlignment="1">
      <alignment/>
    </xf>
    <xf numFmtId="43" fontId="0" fillId="2" borderId="5" xfId="15" applyFill="1" applyBorder="1" applyAlignment="1">
      <alignment/>
    </xf>
    <xf numFmtId="43" fontId="0" fillId="2" borderId="12" xfId="15" applyFill="1" applyBorder="1" applyAlignment="1">
      <alignment/>
    </xf>
    <xf numFmtId="0" fontId="0" fillId="3" borderId="10" xfId="0" applyFill="1" applyBorder="1" applyAlignment="1">
      <alignment horizontal="center"/>
    </xf>
    <xf numFmtId="198" fontId="0" fillId="3" borderId="10" xfId="15" applyNumberFormat="1" applyFill="1" applyBorder="1" applyAlignment="1">
      <alignment/>
    </xf>
    <xf numFmtId="43" fontId="0" fillId="3" borderId="2" xfId="15" applyFill="1" applyBorder="1" applyAlignment="1">
      <alignment/>
    </xf>
    <xf numFmtId="43" fontId="0" fillId="3" borderId="10" xfId="15" applyFill="1" applyBorder="1" applyAlignment="1">
      <alignment/>
    </xf>
    <xf numFmtId="43" fontId="0" fillId="3" borderId="13" xfId="15" applyFill="1" applyBorder="1" applyAlignment="1">
      <alignment/>
    </xf>
    <xf numFmtId="43" fontId="0" fillId="3" borderId="2" xfId="15" applyNumberForma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198" fontId="0" fillId="15" borderId="5" xfId="15" applyNumberFormat="1" applyFill="1" applyBorder="1" applyAlignment="1">
      <alignment/>
    </xf>
    <xf numFmtId="43" fontId="0" fillId="15" borderId="14" xfId="15" applyFill="1" applyBorder="1" applyAlignment="1">
      <alignment/>
    </xf>
    <xf numFmtId="43" fontId="0" fillId="15" borderId="3" xfId="15" applyFill="1" applyBorder="1" applyAlignment="1">
      <alignment/>
    </xf>
    <xf numFmtId="43" fontId="0" fillId="15" borderId="3" xfId="15" applyNumberFormat="1" applyFill="1" applyBorder="1" applyAlignment="1">
      <alignment horizontal="center"/>
    </xf>
    <xf numFmtId="43" fontId="4" fillId="3" borderId="15" xfId="15" applyFont="1" applyFill="1" applyBorder="1" applyAlignment="1">
      <alignment/>
    </xf>
    <xf numFmtId="0" fontId="0" fillId="2" borderId="16" xfId="0" applyFill="1" applyBorder="1" applyAlignment="1">
      <alignment horizontal="center"/>
    </xf>
    <xf numFmtId="43" fontId="0" fillId="2" borderId="4" xfId="15" applyFill="1" applyBorder="1" applyAlignment="1">
      <alignment/>
    </xf>
    <xf numFmtId="43" fontId="0" fillId="2" borderId="17" xfId="15" applyFill="1" applyBorder="1" applyAlignment="1">
      <alignment/>
    </xf>
    <xf numFmtId="43" fontId="0" fillId="2" borderId="18" xfId="15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98" fontId="0" fillId="5" borderId="17" xfId="15" applyNumberFormat="1" applyFill="1" applyBorder="1" applyAlignment="1">
      <alignment/>
    </xf>
    <xf numFmtId="43" fontId="0" fillId="5" borderId="19" xfId="15" applyFill="1" applyBorder="1" applyAlignment="1">
      <alignment/>
    </xf>
    <xf numFmtId="43" fontId="0" fillId="5" borderId="4" xfId="15" applyFill="1" applyBorder="1" applyAlignment="1">
      <alignment/>
    </xf>
    <xf numFmtId="43" fontId="0" fillId="5" borderId="4" xfId="15" applyNumberForma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98" fontId="0" fillId="16" borderId="0" xfId="15" applyNumberFormat="1" applyFill="1" applyBorder="1" applyAlignment="1">
      <alignment/>
    </xf>
    <xf numFmtId="43" fontId="0" fillId="16" borderId="1" xfId="15" applyFill="1" applyBorder="1" applyAlignment="1">
      <alignment/>
    </xf>
    <xf numFmtId="43" fontId="0" fillId="16" borderId="1" xfId="15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98" fontId="0" fillId="13" borderId="10" xfId="15" applyNumberFormat="1" applyFill="1" applyBorder="1" applyAlignment="1">
      <alignment/>
    </xf>
    <xf numFmtId="43" fontId="0" fillId="13" borderId="2" xfId="15" applyFill="1" applyBorder="1" applyAlignment="1">
      <alignment/>
    </xf>
    <xf numFmtId="43" fontId="0" fillId="13" borderId="10" xfId="15" applyFill="1" applyBorder="1" applyAlignment="1">
      <alignment/>
    </xf>
    <xf numFmtId="43" fontId="0" fillId="13" borderId="2" xfId="15" applyNumberFormat="1" applyFill="1" applyBorder="1" applyAlignment="1">
      <alignment horizontal="center"/>
    </xf>
    <xf numFmtId="43" fontId="0" fillId="2" borderId="2" xfId="15" applyFill="1" applyBorder="1" applyAlignment="1">
      <alignment/>
    </xf>
    <xf numFmtId="43" fontId="5" fillId="13" borderId="15" xfId="15" applyFont="1" applyFill="1" applyBorder="1" applyAlignment="1">
      <alignment/>
    </xf>
    <xf numFmtId="43" fontId="0" fillId="2" borderId="20" xfId="15" applyFill="1" applyBorder="1" applyAlignment="1">
      <alignment/>
    </xf>
    <xf numFmtId="0" fontId="0" fillId="12" borderId="0" xfId="0" applyFill="1" applyBorder="1" applyAlignment="1">
      <alignment horizontal="center"/>
    </xf>
    <xf numFmtId="198" fontId="0" fillId="12" borderId="0" xfId="15" applyNumberFormat="1" applyFill="1" applyBorder="1" applyAlignment="1">
      <alignment/>
    </xf>
    <xf numFmtId="43" fontId="0" fillId="12" borderId="1" xfId="15" applyFill="1" applyBorder="1" applyAlignment="1">
      <alignment/>
    </xf>
    <xf numFmtId="43" fontId="0" fillId="12" borderId="1" xfId="15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98" fontId="0" fillId="15" borderId="10" xfId="15" applyNumberFormat="1" applyFill="1" applyBorder="1" applyAlignment="1">
      <alignment/>
    </xf>
    <xf numFmtId="43" fontId="0" fillId="15" borderId="2" xfId="15" applyFill="1" applyBorder="1" applyAlignment="1">
      <alignment/>
    </xf>
    <xf numFmtId="43" fontId="0" fillId="15" borderId="10" xfId="15" applyFill="1" applyBorder="1" applyAlignment="1">
      <alignment/>
    </xf>
    <xf numFmtId="43" fontId="0" fillId="15" borderId="2" xfId="15" applyNumberFormat="1" applyFill="1" applyBorder="1" applyAlignment="1">
      <alignment horizontal="center"/>
    </xf>
    <xf numFmtId="43" fontId="4" fillId="15" borderId="15" xfId="15" applyFont="1" applyFill="1" applyBorder="1" applyAlignment="1">
      <alignment/>
    </xf>
    <xf numFmtId="0" fontId="0" fillId="12" borderId="5" xfId="0" applyFill="1" applyBorder="1" applyAlignment="1">
      <alignment horizontal="center"/>
    </xf>
    <xf numFmtId="198" fontId="0" fillId="12" borderId="5" xfId="15" applyNumberFormat="1" applyFill="1" applyBorder="1" applyAlignment="1">
      <alignment/>
    </xf>
    <xf numFmtId="43" fontId="0" fillId="12" borderId="3" xfId="15" applyFill="1" applyBorder="1" applyAlignment="1">
      <alignment/>
    </xf>
    <xf numFmtId="43" fontId="0" fillId="12" borderId="3" xfId="15" applyNumberForma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43" fontId="4" fillId="11" borderId="0" xfId="15" applyFont="1" applyFill="1" applyAlignment="1">
      <alignment/>
    </xf>
    <xf numFmtId="0" fontId="0" fillId="4" borderId="17" xfId="0" applyFill="1" applyBorder="1" applyAlignment="1">
      <alignment horizontal="center"/>
    </xf>
    <xf numFmtId="198" fontId="0" fillId="4" borderId="17" xfId="15" applyNumberFormat="1" applyFill="1" applyBorder="1" applyAlignment="1">
      <alignment/>
    </xf>
    <xf numFmtId="43" fontId="0" fillId="4" borderId="4" xfId="15" applyFill="1" applyBorder="1" applyAlignment="1">
      <alignment/>
    </xf>
    <xf numFmtId="43" fontId="0" fillId="4" borderId="17" xfId="15" applyFill="1" applyBorder="1" applyAlignment="1">
      <alignment/>
    </xf>
    <xf numFmtId="43" fontId="0" fillId="4" borderId="4" xfId="15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98" fontId="0" fillId="6" borderId="10" xfId="15" applyNumberFormat="1" applyFill="1" applyBorder="1" applyAlignment="1">
      <alignment/>
    </xf>
    <xf numFmtId="43" fontId="0" fillId="6" borderId="2" xfId="15" applyFill="1" applyBorder="1" applyAlignment="1">
      <alignment/>
    </xf>
    <xf numFmtId="43" fontId="0" fillId="6" borderId="2" xfId="15" applyNumberFormat="1" applyFill="1" applyBorder="1" applyAlignment="1">
      <alignment horizontal="center"/>
    </xf>
    <xf numFmtId="43" fontId="4" fillId="6" borderId="15" xfId="15" applyFont="1" applyFill="1" applyBorder="1" applyAlignment="1">
      <alignment/>
    </xf>
    <xf numFmtId="0" fontId="0" fillId="17" borderId="5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198" fontId="0" fillId="17" borderId="5" xfId="15" applyNumberFormat="1" applyFill="1" applyBorder="1" applyAlignment="1">
      <alignment/>
    </xf>
    <xf numFmtId="43" fontId="0" fillId="17" borderId="3" xfId="15" applyFill="1" applyBorder="1" applyAlignment="1">
      <alignment/>
    </xf>
    <xf numFmtId="43" fontId="0" fillId="17" borderId="3" xfId="15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198" fontId="0" fillId="17" borderId="10" xfId="15" applyNumberFormat="1" applyFill="1" applyBorder="1" applyAlignment="1">
      <alignment/>
    </xf>
    <xf numFmtId="43" fontId="0" fillId="17" borderId="2" xfId="15" applyFill="1" applyBorder="1" applyAlignment="1">
      <alignment/>
    </xf>
    <xf numFmtId="43" fontId="0" fillId="17" borderId="10" xfId="15" applyFill="1" applyBorder="1" applyAlignment="1">
      <alignment/>
    </xf>
    <xf numFmtId="43" fontId="0" fillId="17" borderId="2" xfId="15" applyNumberFormat="1" applyFill="1" applyBorder="1" applyAlignment="1">
      <alignment horizontal="center"/>
    </xf>
    <xf numFmtId="43" fontId="4" fillId="17" borderId="15" xfId="15" applyFont="1" applyFill="1" applyBorder="1" applyAlignment="1">
      <alignment/>
    </xf>
    <xf numFmtId="0" fontId="0" fillId="18" borderId="5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198" fontId="0" fillId="18" borderId="5" xfId="15" applyNumberFormat="1" applyFill="1" applyBorder="1" applyAlignment="1">
      <alignment/>
    </xf>
    <xf numFmtId="43" fontId="0" fillId="18" borderId="3" xfId="15" applyFill="1" applyBorder="1" applyAlignment="1">
      <alignment/>
    </xf>
    <xf numFmtId="43" fontId="0" fillId="18" borderId="3" xfId="15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98" fontId="0" fillId="4" borderId="10" xfId="15" applyNumberFormat="1" applyFill="1" applyBorder="1" applyAlignment="1">
      <alignment/>
    </xf>
    <xf numFmtId="43" fontId="0" fillId="4" borderId="2" xfId="15" applyFill="1" applyBorder="1" applyAlignment="1">
      <alignment/>
    </xf>
    <xf numFmtId="43" fontId="0" fillId="4" borderId="2" xfId="15" applyNumberFormat="1" applyFill="1" applyBorder="1" applyAlignment="1">
      <alignment horizontal="center"/>
    </xf>
    <xf numFmtId="43" fontId="0" fillId="2" borderId="15" xfId="15" applyFill="1" applyBorder="1" applyAlignment="1">
      <alignment/>
    </xf>
    <xf numFmtId="198" fontId="0" fillId="4" borderId="5" xfId="15" applyNumberFormat="1" applyFill="1" applyBorder="1" applyAlignment="1">
      <alignment/>
    </xf>
    <xf numFmtId="43" fontId="0" fillId="4" borderId="3" xfId="15" applyFill="1" applyBorder="1" applyAlignment="1">
      <alignment/>
    </xf>
    <xf numFmtId="43" fontId="0" fillId="4" borderId="5" xfId="15" applyFill="1" applyBorder="1" applyAlignment="1">
      <alignment/>
    </xf>
    <xf numFmtId="43" fontId="0" fillId="4" borderId="3" xfId="15" applyNumberForma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198" fontId="0" fillId="18" borderId="17" xfId="15" applyNumberFormat="1" applyFill="1" applyBorder="1" applyAlignment="1">
      <alignment/>
    </xf>
    <xf numFmtId="43" fontId="0" fillId="18" borderId="4" xfId="15" applyFill="1" applyBorder="1" applyAlignment="1">
      <alignment/>
    </xf>
    <xf numFmtId="43" fontId="0" fillId="18" borderId="4" xfId="15" applyNumberFormat="1" applyFill="1" applyBorder="1" applyAlignment="1">
      <alignment horizontal="center"/>
    </xf>
    <xf numFmtId="43" fontId="5" fillId="18" borderId="18" xfId="15" applyFont="1" applyFill="1" applyBorder="1" applyAlignment="1">
      <alignment/>
    </xf>
    <xf numFmtId="0" fontId="0" fillId="5" borderId="0" xfId="0" applyFill="1" applyBorder="1" applyAlignment="1">
      <alignment horizontal="center"/>
    </xf>
    <xf numFmtId="198" fontId="0" fillId="5" borderId="0" xfId="15" applyNumberFormat="1" applyFill="1" applyBorder="1" applyAlignment="1">
      <alignment/>
    </xf>
    <xf numFmtId="43" fontId="0" fillId="5" borderId="1" xfId="15" applyFill="1" applyBorder="1" applyAlignment="1">
      <alignment/>
    </xf>
    <xf numFmtId="43" fontId="0" fillId="5" borderId="1" xfId="15" applyNumberFormat="1" applyFill="1" applyBorder="1" applyAlignment="1">
      <alignment horizontal="center"/>
    </xf>
    <xf numFmtId="43" fontId="0" fillId="5" borderId="0" xfId="15" applyFill="1" applyBorder="1" applyAlignment="1">
      <alignment/>
    </xf>
    <xf numFmtId="0" fontId="0" fillId="5" borderId="10" xfId="0" applyFill="1" applyBorder="1" applyAlignment="1">
      <alignment horizontal="center"/>
    </xf>
    <xf numFmtId="198" fontId="0" fillId="5" borderId="10" xfId="15" applyNumberFormat="1" applyFill="1" applyBorder="1" applyAlignment="1">
      <alignment/>
    </xf>
    <xf numFmtId="43" fontId="0" fillId="5" borderId="2" xfId="15" applyFill="1" applyBorder="1" applyAlignment="1">
      <alignment/>
    </xf>
    <xf numFmtId="43" fontId="0" fillId="5" borderId="2" xfId="15" applyNumberForma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198" fontId="0" fillId="10" borderId="17" xfId="15" applyNumberFormat="1" applyFill="1" applyBorder="1" applyAlignment="1">
      <alignment/>
    </xf>
    <xf numFmtId="43" fontId="0" fillId="10" borderId="4" xfId="15" applyFill="1" applyBorder="1" applyAlignment="1">
      <alignment/>
    </xf>
    <xf numFmtId="43" fontId="0" fillId="10" borderId="4" xfId="15" applyNumberFormat="1" applyFill="1" applyBorder="1" applyAlignment="1">
      <alignment horizontal="center"/>
    </xf>
    <xf numFmtId="43" fontId="0" fillId="4" borderId="10" xfId="15" applyFill="1" applyBorder="1" applyAlignment="1">
      <alignment/>
    </xf>
    <xf numFmtId="0" fontId="0" fillId="10" borderId="10" xfId="0" applyFill="1" applyBorder="1" applyAlignment="1">
      <alignment horizontal="center"/>
    </xf>
    <xf numFmtId="198" fontId="0" fillId="10" borderId="10" xfId="15" applyNumberFormat="1" applyFill="1" applyBorder="1" applyAlignment="1">
      <alignment/>
    </xf>
    <xf numFmtId="43" fontId="0" fillId="10" borderId="2" xfId="15" applyFill="1" applyBorder="1" applyAlignment="1">
      <alignment/>
    </xf>
    <xf numFmtId="43" fontId="0" fillId="10" borderId="10" xfId="15" applyFill="1" applyBorder="1" applyAlignment="1">
      <alignment/>
    </xf>
    <xf numFmtId="43" fontId="0" fillId="10" borderId="2" xfId="15" applyNumberFormat="1" applyFill="1" applyBorder="1" applyAlignment="1">
      <alignment horizontal="center"/>
    </xf>
    <xf numFmtId="43" fontId="4" fillId="10" borderId="15" xfId="15" applyFont="1" applyFill="1" applyBorder="1" applyAlignment="1">
      <alignment/>
    </xf>
    <xf numFmtId="0" fontId="0" fillId="7" borderId="5" xfId="0" applyFill="1" applyBorder="1" applyAlignment="1">
      <alignment horizontal="center"/>
    </xf>
    <xf numFmtId="198" fontId="0" fillId="7" borderId="5" xfId="15" applyNumberFormat="1" applyFill="1" applyBorder="1" applyAlignment="1">
      <alignment/>
    </xf>
    <xf numFmtId="43" fontId="0" fillId="7" borderId="3" xfId="15" applyFill="1" applyBorder="1" applyAlignment="1">
      <alignment/>
    </xf>
    <xf numFmtId="43" fontId="0" fillId="7" borderId="5" xfId="15" applyFill="1" applyBorder="1" applyAlignment="1">
      <alignment/>
    </xf>
    <xf numFmtId="43" fontId="0" fillId="7" borderId="3" xfId="15" applyNumberFormat="1" applyFill="1" applyBorder="1" applyAlignment="1">
      <alignment horizontal="center"/>
    </xf>
    <xf numFmtId="43" fontId="4" fillId="7" borderId="12" xfId="15" applyFont="1" applyFill="1" applyBorder="1" applyAlignment="1">
      <alignment/>
    </xf>
    <xf numFmtId="0" fontId="0" fillId="15" borderId="0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98" fontId="0" fillId="15" borderId="0" xfId="15" applyNumberFormat="1" applyFill="1" applyBorder="1" applyAlignment="1">
      <alignment/>
    </xf>
    <xf numFmtId="43" fontId="0" fillId="15" borderId="1" xfId="15" applyFill="1" applyBorder="1" applyAlignment="1">
      <alignment/>
    </xf>
    <xf numFmtId="43" fontId="0" fillId="15" borderId="1" xfId="15" applyNumberFormat="1" applyFill="1" applyBorder="1" applyAlignment="1">
      <alignment horizontal="center"/>
    </xf>
    <xf numFmtId="43" fontId="0" fillId="15" borderId="0" xfId="15" applyFill="1" applyBorder="1" applyAlignment="1">
      <alignment/>
    </xf>
    <xf numFmtId="198" fontId="0" fillId="6" borderId="5" xfId="15" applyNumberFormat="1" applyFill="1" applyBorder="1" applyAlignment="1">
      <alignment/>
    </xf>
    <xf numFmtId="43" fontId="0" fillId="6" borderId="3" xfId="15" applyFill="1" applyBorder="1" applyAlignment="1">
      <alignment/>
    </xf>
    <xf numFmtId="43" fontId="0" fillId="6" borderId="3" xfId="15" applyNumberForma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198" fontId="0" fillId="15" borderId="17" xfId="15" applyNumberFormat="1" applyFill="1" applyBorder="1" applyAlignment="1">
      <alignment/>
    </xf>
    <xf numFmtId="43" fontId="0" fillId="15" borderId="4" xfId="15" applyFill="1" applyBorder="1" applyAlignment="1">
      <alignment/>
    </xf>
    <xf numFmtId="43" fontId="0" fillId="15" borderId="4" xfId="15" applyNumberFormat="1" applyFill="1" applyBorder="1" applyAlignment="1">
      <alignment horizontal="center"/>
    </xf>
    <xf numFmtId="43" fontId="5" fillId="15" borderId="12" xfId="15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98" fontId="6" fillId="4" borderId="0" xfId="15" applyNumberFormat="1" applyFont="1" applyFill="1" applyBorder="1" applyAlignment="1">
      <alignment/>
    </xf>
    <xf numFmtId="43" fontId="6" fillId="4" borderId="1" xfId="15" applyFont="1" applyFill="1" applyBorder="1" applyAlignment="1">
      <alignment/>
    </xf>
    <xf numFmtId="43" fontId="6" fillId="4" borderId="1" xfId="15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98" fontId="7" fillId="4" borderId="0" xfId="15" applyNumberFormat="1" applyFont="1" applyFill="1" applyBorder="1" applyAlignment="1">
      <alignment/>
    </xf>
    <xf numFmtId="43" fontId="7" fillId="4" borderId="1" xfId="15" applyFont="1" applyFill="1" applyBorder="1" applyAlignment="1">
      <alignment/>
    </xf>
    <xf numFmtId="43" fontId="7" fillId="4" borderId="1" xfId="15" applyNumberFormat="1" applyFont="1" applyFill="1" applyBorder="1" applyAlignment="1">
      <alignment horizontal="center"/>
    </xf>
    <xf numFmtId="43" fontId="7" fillId="4" borderId="0" xfId="15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98" fontId="7" fillId="4" borderId="5" xfId="15" applyNumberFormat="1" applyFont="1" applyFill="1" applyBorder="1" applyAlignment="1">
      <alignment/>
    </xf>
    <xf numFmtId="43" fontId="7" fillId="4" borderId="3" xfId="15" applyFont="1" applyFill="1" applyBorder="1" applyAlignment="1">
      <alignment/>
    </xf>
    <xf numFmtId="43" fontId="7" fillId="4" borderId="3" xfId="15" applyNumberFormat="1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198" fontId="0" fillId="17" borderId="17" xfId="15" applyNumberFormat="1" applyFill="1" applyBorder="1" applyAlignment="1">
      <alignment/>
    </xf>
    <xf numFmtId="43" fontId="0" fillId="17" borderId="4" xfId="15" applyFill="1" applyBorder="1" applyAlignment="1">
      <alignment/>
    </xf>
    <xf numFmtId="43" fontId="0" fillId="17" borderId="4" xfId="15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98" fontId="0" fillId="6" borderId="0" xfId="15" applyNumberFormat="1" applyFill="1" applyBorder="1" applyAlignment="1">
      <alignment/>
    </xf>
    <xf numFmtId="43" fontId="0" fillId="6" borderId="1" xfId="15" applyFill="1" applyBorder="1" applyAlignment="1">
      <alignment/>
    </xf>
    <xf numFmtId="43" fontId="0" fillId="6" borderId="1" xfId="15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98" fontId="0" fillId="8" borderId="0" xfId="15" applyNumberFormat="1" applyFill="1" applyBorder="1" applyAlignment="1">
      <alignment/>
    </xf>
    <xf numFmtId="43" fontId="0" fillId="8" borderId="1" xfId="15" applyFill="1" applyBorder="1" applyAlignment="1">
      <alignment/>
    </xf>
    <xf numFmtId="43" fontId="0" fillId="8" borderId="1" xfId="15" applyNumberForma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198" fontId="0" fillId="10" borderId="5" xfId="15" applyNumberFormat="1" applyFill="1" applyBorder="1" applyAlignment="1">
      <alignment/>
    </xf>
    <xf numFmtId="43" fontId="0" fillId="10" borderId="3" xfId="15" applyFill="1" applyBorder="1" applyAlignment="1">
      <alignment/>
    </xf>
    <xf numFmtId="43" fontId="0" fillId="10" borderId="5" xfId="15" applyFill="1" applyBorder="1" applyAlignment="1">
      <alignment/>
    </xf>
    <xf numFmtId="43" fontId="0" fillId="10" borderId="3" xfId="15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198" fontId="0" fillId="8" borderId="10" xfId="15" applyNumberFormat="1" applyFill="1" applyBorder="1" applyAlignment="1">
      <alignment/>
    </xf>
    <xf numFmtId="43" fontId="0" fillId="8" borderId="2" xfId="15" applyFill="1" applyBorder="1" applyAlignment="1">
      <alignment/>
    </xf>
    <xf numFmtId="43" fontId="0" fillId="8" borderId="2" xfId="15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98" fontId="0" fillId="5" borderId="5" xfId="15" applyNumberFormat="1" applyFill="1" applyBorder="1" applyAlignment="1">
      <alignment/>
    </xf>
    <xf numFmtId="43" fontId="0" fillId="5" borderId="3" xfId="15" applyFill="1" applyBorder="1" applyAlignment="1">
      <alignment/>
    </xf>
    <xf numFmtId="43" fontId="0" fillId="5" borderId="3" xfId="15" applyNumberFormat="1" applyFill="1" applyBorder="1" applyAlignment="1">
      <alignment horizontal="center"/>
    </xf>
    <xf numFmtId="43" fontId="4" fillId="8" borderId="15" xfId="15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98" fontId="7" fillId="4" borderId="10" xfId="15" applyNumberFormat="1" applyFont="1" applyFill="1" applyBorder="1" applyAlignment="1">
      <alignment/>
    </xf>
    <xf numFmtId="43" fontId="7" fillId="4" borderId="2" xfId="15" applyFont="1" applyFill="1" applyBorder="1" applyAlignment="1">
      <alignment/>
    </xf>
    <xf numFmtId="43" fontId="7" fillId="4" borderId="10" xfId="15" applyFont="1" applyFill="1" applyBorder="1" applyAlignment="1">
      <alignment/>
    </xf>
    <xf numFmtId="43" fontId="7" fillId="4" borderId="2" xfId="15" applyNumberFormat="1" applyFont="1" applyFill="1" applyBorder="1" applyAlignment="1">
      <alignment horizontal="center"/>
    </xf>
    <xf numFmtId="198" fontId="0" fillId="4" borderId="0" xfId="15" applyNumberFormat="1" applyFill="1" applyBorder="1" applyAlignment="1">
      <alignment/>
    </xf>
    <xf numFmtId="43" fontId="0" fillId="4" borderId="1" xfId="15" applyFill="1" applyBorder="1" applyAlignment="1">
      <alignment/>
    </xf>
    <xf numFmtId="43" fontId="0" fillId="4" borderId="1" xfId="15" applyNumberForma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98" fontId="0" fillId="16" borderId="5" xfId="15" applyNumberFormat="1" applyFill="1" applyBorder="1" applyAlignment="1">
      <alignment/>
    </xf>
    <xf numFmtId="43" fontId="0" fillId="16" borderId="3" xfId="15" applyFill="1" applyBorder="1" applyAlignment="1">
      <alignment/>
    </xf>
    <xf numFmtId="43" fontId="0" fillId="16" borderId="5" xfId="15" applyFill="1" applyBorder="1" applyAlignment="1">
      <alignment/>
    </xf>
    <xf numFmtId="43" fontId="0" fillId="16" borderId="3" xfId="15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198" fontId="0" fillId="12" borderId="17" xfId="15" applyNumberFormat="1" applyFill="1" applyBorder="1" applyAlignment="1">
      <alignment/>
    </xf>
    <xf numFmtId="43" fontId="0" fillId="12" borderId="4" xfId="15" applyFill="1" applyBorder="1" applyAlignment="1">
      <alignment/>
    </xf>
    <xf numFmtId="43" fontId="0" fillId="12" borderId="4" xfId="15" applyNumberFormat="1" applyFill="1" applyBorder="1" applyAlignment="1">
      <alignment horizontal="center"/>
    </xf>
    <xf numFmtId="43" fontId="5" fillId="12" borderId="18" xfId="15" applyFont="1" applyFill="1" applyBorder="1" applyAlignment="1">
      <alignment/>
    </xf>
    <xf numFmtId="43" fontId="0" fillId="11" borderId="5" xfId="15" applyFill="1" applyBorder="1" applyAlignment="1">
      <alignment/>
    </xf>
    <xf numFmtId="43" fontId="0" fillId="10" borderId="17" xfId="15" applyFill="1" applyBorder="1" applyAlignment="1">
      <alignment/>
    </xf>
    <xf numFmtId="43" fontId="4" fillId="10" borderId="18" xfId="15" applyFont="1" applyFill="1" applyBorder="1" applyAlignment="1">
      <alignment/>
    </xf>
    <xf numFmtId="0" fontId="0" fillId="13" borderId="17" xfId="0" applyFill="1" applyBorder="1" applyAlignment="1">
      <alignment horizontal="center"/>
    </xf>
    <xf numFmtId="198" fontId="0" fillId="13" borderId="17" xfId="15" applyNumberFormat="1" applyFill="1" applyBorder="1" applyAlignment="1">
      <alignment/>
    </xf>
    <xf numFmtId="43" fontId="0" fillId="13" borderId="4" xfId="15" applyFill="1" applyBorder="1" applyAlignment="1">
      <alignment/>
    </xf>
    <xf numFmtId="43" fontId="0" fillId="13" borderId="4" xfId="15" applyNumberFormat="1" applyFill="1" applyBorder="1" applyAlignment="1">
      <alignment horizontal="center"/>
    </xf>
    <xf numFmtId="43" fontId="0" fillId="11" borderId="17" xfId="15" applyFill="1" applyBorder="1" applyAlignment="1">
      <alignment/>
    </xf>
    <xf numFmtId="0" fontId="0" fillId="8" borderId="17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98" fontId="0" fillId="8" borderId="17" xfId="15" applyNumberFormat="1" applyFill="1" applyBorder="1" applyAlignment="1">
      <alignment/>
    </xf>
    <xf numFmtId="43" fontId="0" fillId="8" borderId="4" xfId="15" applyFill="1" applyBorder="1" applyAlignment="1">
      <alignment/>
    </xf>
    <xf numFmtId="43" fontId="0" fillId="8" borderId="4" xfId="15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198" fontId="0" fillId="13" borderId="5" xfId="15" applyNumberFormat="1" applyFill="1" applyBorder="1" applyAlignment="1">
      <alignment/>
    </xf>
    <xf numFmtId="43" fontId="0" fillId="13" borderId="3" xfId="15" applyFill="1" applyBorder="1" applyAlignment="1">
      <alignment/>
    </xf>
    <xf numFmtId="43" fontId="0" fillId="13" borderId="3" xfId="15" applyNumberFormat="1" applyFill="1" applyBorder="1" applyAlignment="1">
      <alignment horizontal="center"/>
    </xf>
    <xf numFmtId="43" fontId="5" fillId="13" borderId="12" xfId="15" applyFont="1" applyFill="1" applyBorder="1" applyAlignment="1">
      <alignment/>
    </xf>
    <xf numFmtId="43" fontId="4" fillId="8" borderId="18" xfId="15" applyFont="1" applyFill="1" applyBorder="1" applyAlignment="1">
      <alignment/>
    </xf>
    <xf numFmtId="43" fontId="5" fillId="5" borderId="20" xfId="15" applyFont="1" applyFill="1" applyBorder="1" applyAlignment="1">
      <alignment/>
    </xf>
    <xf numFmtId="0" fontId="0" fillId="16" borderId="17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198" fontId="0" fillId="16" borderId="17" xfId="15" applyNumberFormat="1" applyFill="1" applyBorder="1" applyAlignment="1">
      <alignment/>
    </xf>
    <xf numFmtId="43" fontId="0" fillId="16" borderId="4" xfId="15" applyFill="1" applyBorder="1" applyAlignment="1">
      <alignment/>
    </xf>
    <xf numFmtId="43" fontId="0" fillId="16" borderId="17" xfId="15" applyFill="1" applyBorder="1" applyAlignment="1">
      <alignment/>
    </xf>
    <xf numFmtId="43" fontId="0" fillId="16" borderId="4" xfId="15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98" fontId="0" fillId="9" borderId="10" xfId="15" applyNumberFormat="1" applyFill="1" applyBorder="1" applyAlignment="1">
      <alignment/>
    </xf>
    <xf numFmtId="43" fontId="0" fillId="9" borderId="2" xfId="15" applyFill="1" applyBorder="1" applyAlignment="1">
      <alignment/>
    </xf>
    <xf numFmtId="43" fontId="0" fillId="9" borderId="10" xfId="15" applyFill="1" applyBorder="1" applyAlignment="1">
      <alignment/>
    </xf>
    <xf numFmtId="43" fontId="0" fillId="9" borderId="2" xfId="15" applyNumberFormat="1" applyFill="1" applyBorder="1" applyAlignment="1">
      <alignment horizontal="center"/>
    </xf>
    <xf numFmtId="0" fontId="8" fillId="15" borderId="21" xfId="0" applyFont="1" applyFill="1" applyBorder="1" applyAlignment="1">
      <alignment horizontal="center"/>
    </xf>
    <xf numFmtId="43" fontId="8" fillId="15" borderId="21" xfId="0" applyNumberFormat="1" applyFont="1" applyFill="1" applyBorder="1" applyAlignment="1">
      <alignment horizontal="center"/>
    </xf>
    <xf numFmtId="43" fontId="8" fillId="15" borderId="21" xfId="15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43" fontId="8" fillId="4" borderId="21" xfId="15" applyFont="1" applyFill="1" applyBorder="1" applyAlignment="1">
      <alignment horizontal="center"/>
    </xf>
    <xf numFmtId="0" fontId="8" fillId="16" borderId="21" xfId="0" applyFont="1" applyFill="1" applyBorder="1" applyAlignment="1">
      <alignment horizontal="center"/>
    </xf>
    <xf numFmtId="43" fontId="8" fillId="16" borderId="21" xfId="15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43" fontId="8" fillId="9" borderId="21" xfId="0" applyNumberFormat="1" applyFont="1" applyFill="1" applyBorder="1" applyAlignment="1">
      <alignment horizontal="center"/>
    </xf>
    <xf numFmtId="43" fontId="8" fillId="9" borderId="21" xfId="15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43" fontId="8" fillId="6" borderId="21" xfId="0" applyNumberFormat="1" applyFont="1" applyFill="1" applyBorder="1" applyAlignment="1">
      <alignment horizontal="center"/>
    </xf>
    <xf numFmtId="43" fontId="9" fillId="15" borderId="22" xfId="0" applyNumberFormat="1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43" fontId="9" fillId="9" borderId="22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43" fontId="9" fillId="6" borderId="22" xfId="0" applyNumberFormat="1" applyFont="1" applyFill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43" fontId="10" fillId="16" borderId="22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43" fontId="10" fillId="4" borderId="22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43" fontId="5" fillId="6" borderId="15" xfId="15" applyFont="1" applyFill="1" applyBorder="1" applyAlignment="1">
      <alignment/>
    </xf>
    <xf numFmtId="0" fontId="7" fillId="16" borderId="5" xfId="0" applyFont="1" applyFill="1" applyBorder="1" applyAlignment="1">
      <alignment horizontal="center"/>
    </xf>
    <xf numFmtId="0" fontId="7" fillId="16" borderId="3" xfId="0" applyFont="1" applyFill="1" applyBorder="1" applyAlignment="1">
      <alignment horizontal="center"/>
    </xf>
    <xf numFmtId="198" fontId="7" fillId="16" borderId="5" xfId="15" applyNumberFormat="1" applyFont="1" applyFill="1" applyBorder="1" applyAlignment="1">
      <alignment/>
    </xf>
    <xf numFmtId="43" fontId="7" fillId="16" borderId="3" xfId="15" applyFont="1" applyFill="1" applyBorder="1" applyAlignment="1">
      <alignment/>
    </xf>
    <xf numFmtId="43" fontId="7" fillId="16" borderId="5" xfId="15" applyFont="1" applyFill="1" applyBorder="1" applyAlignment="1">
      <alignment/>
    </xf>
    <xf numFmtId="43" fontId="7" fillId="16" borderId="3" xfId="15" applyNumberFormat="1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8" fillId="19" borderId="21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10" fillId="21" borderId="2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43" fontId="8" fillId="10" borderId="23" xfId="0" applyNumberFormat="1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43" fontId="8" fillId="19" borderId="23" xfId="0" applyNumberFormat="1" applyFont="1" applyFill="1" applyBorder="1" applyAlignment="1">
      <alignment horizontal="center"/>
    </xf>
    <xf numFmtId="0" fontId="8" fillId="19" borderId="22" xfId="0" applyFont="1" applyFill="1" applyBorder="1" applyAlignment="1">
      <alignment horizontal="center"/>
    </xf>
    <xf numFmtId="43" fontId="8" fillId="13" borderId="23" xfId="0" applyNumberFormat="1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/>
    </xf>
    <xf numFmtId="43" fontId="8" fillId="6" borderId="23" xfId="0" applyNumberFormat="1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43" fontId="8" fillId="8" borderId="23" xfId="0" applyNumberFormat="1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43" fontId="8" fillId="3" borderId="23" xfId="0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3" fontId="8" fillId="20" borderId="23" xfId="0" applyNumberFormat="1" applyFont="1" applyFill="1" applyBorder="1" applyAlignment="1">
      <alignment horizontal="center"/>
    </xf>
    <xf numFmtId="0" fontId="8" fillId="20" borderId="22" xfId="0" applyFont="1" applyFill="1" applyBorder="1" applyAlignment="1">
      <alignment horizontal="center"/>
    </xf>
    <xf numFmtId="43" fontId="8" fillId="21" borderId="23" xfId="0" applyNumberFormat="1" applyFont="1" applyFill="1" applyBorder="1" applyAlignment="1">
      <alignment horizontal="center"/>
    </xf>
    <xf numFmtId="0" fontId="10" fillId="21" borderId="22" xfId="0" applyFont="1" applyFill="1" applyBorder="1" applyAlignment="1">
      <alignment horizontal="center"/>
    </xf>
    <xf numFmtId="43" fontId="8" fillId="5" borderId="23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43" fontId="10" fillId="15" borderId="22" xfId="0" applyNumberFormat="1" applyFont="1" applyFill="1" applyBorder="1" applyAlignment="1">
      <alignment horizontal="center"/>
    </xf>
    <xf numFmtId="43" fontId="10" fillId="9" borderId="22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43" fontId="5" fillId="11" borderId="0" xfId="15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98" fontId="0" fillId="9" borderId="0" xfId="15" applyNumberFormat="1" applyFill="1" applyBorder="1" applyAlignment="1">
      <alignment/>
    </xf>
    <xf numFmtId="43" fontId="0" fillId="9" borderId="1" xfId="15" applyFill="1" applyBorder="1" applyAlignment="1">
      <alignment/>
    </xf>
    <xf numFmtId="43" fontId="0" fillId="9" borderId="1" xfId="15" applyNumberForma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98" fontId="0" fillId="9" borderId="5" xfId="15" applyNumberFormat="1" applyFill="1" applyBorder="1" applyAlignment="1">
      <alignment/>
    </xf>
    <xf numFmtId="43" fontId="0" fillId="9" borderId="3" xfId="15" applyFill="1" applyBorder="1" applyAlignment="1">
      <alignment/>
    </xf>
    <xf numFmtId="43" fontId="0" fillId="9" borderId="5" xfId="15" applyFill="1" applyBorder="1" applyAlignment="1">
      <alignment/>
    </xf>
    <xf numFmtId="43" fontId="0" fillId="9" borderId="3" xfId="15" applyNumberFormat="1" applyFill="1" applyBorder="1" applyAlignment="1">
      <alignment horizontal="center"/>
    </xf>
    <xf numFmtId="0" fontId="8" fillId="11" borderId="21" xfId="0" applyFont="1" applyFill="1" applyBorder="1" applyAlignment="1">
      <alignment horizontal="center"/>
    </xf>
    <xf numFmtId="43" fontId="8" fillId="11" borderId="22" xfId="15" applyFont="1" applyFill="1" applyBorder="1" applyAlignment="1">
      <alignment/>
    </xf>
    <xf numFmtId="0" fontId="8" fillId="11" borderId="24" xfId="0" applyFont="1" applyFill="1" applyBorder="1" applyAlignment="1">
      <alignment horizontal="center"/>
    </xf>
    <xf numFmtId="43" fontId="8" fillId="11" borderId="25" xfId="15" applyFont="1" applyFill="1" applyBorder="1" applyAlignment="1">
      <alignment/>
    </xf>
    <xf numFmtId="43" fontId="10" fillId="11" borderId="22" xfId="15" applyFont="1" applyFill="1" applyBorder="1" applyAlignment="1">
      <alignment/>
    </xf>
    <xf numFmtId="43" fontId="10" fillId="15" borderId="26" xfId="0" applyNumberFormat="1" applyFont="1" applyFill="1" applyBorder="1" applyAlignment="1">
      <alignment horizontal="center"/>
    </xf>
    <xf numFmtId="43" fontId="10" fillId="9" borderId="26" xfId="0" applyNumberFormat="1" applyFont="1" applyFill="1" applyBorder="1" applyAlignment="1">
      <alignment horizontal="center"/>
    </xf>
    <xf numFmtId="43" fontId="10" fillId="4" borderId="26" xfId="0" applyNumberFormat="1" applyFont="1" applyFill="1" applyBorder="1" applyAlignment="1">
      <alignment horizontal="center"/>
    </xf>
    <xf numFmtId="43" fontId="10" fillId="11" borderId="26" xfId="15" applyFont="1" applyFill="1" applyBorder="1" applyAlignment="1">
      <alignment/>
    </xf>
    <xf numFmtId="43" fontId="8" fillId="11" borderId="26" xfId="15" applyFont="1" applyFill="1" applyBorder="1" applyAlignment="1">
      <alignment/>
    </xf>
    <xf numFmtId="43" fontId="8" fillId="11" borderId="27" xfId="15" applyFont="1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198" fontId="0" fillId="16" borderId="10" xfId="15" applyNumberFormat="1" applyFill="1" applyBorder="1" applyAlignment="1">
      <alignment/>
    </xf>
    <xf numFmtId="43" fontId="0" fillId="16" borderId="2" xfId="15" applyFill="1" applyBorder="1" applyAlignment="1">
      <alignment/>
    </xf>
    <xf numFmtId="43" fontId="0" fillId="16" borderId="2" xfId="15" applyNumberFormat="1" applyFill="1" applyBorder="1" applyAlignment="1">
      <alignment horizontal="center"/>
    </xf>
    <xf numFmtId="43" fontId="4" fillId="16" borderId="12" xfId="15" applyFont="1" applyFill="1" applyBorder="1" applyAlignment="1">
      <alignment/>
    </xf>
    <xf numFmtId="43" fontId="0" fillId="15" borderId="17" xfId="15" applyFill="1" applyBorder="1" applyAlignment="1">
      <alignment/>
    </xf>
    <xf numFmtId="2" fontId="10" fillId="11" borderId="26" xfId="0" applyNumberFormat="1" applyFont="1" applyFill="1" applyBorder="1" applyAlignment="1">
      <alignment/>
    </xf>
    <xf numFmtId="43" fontId="4" fillId="4" borderId="15" xfId="15" applyFont="1" applyFill="1" applyBorder="1" applyAlignment="1">
      <alignment/>
    </xf>
    <xf numFmtId="0" fontId="0" fillId="8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98" fontId="0" fillId="8" borderId="5" xfId="15" applyNumberFormat="1" applyFill="1" applyBorder="1" applyAlignment="1">
      <alignment/>
    </xf>
    <xf numFmtId="43" fontId="0" fillId="8" borderId="3" xfId="15" applyFill="1" applyBorder="1" applyAlignment="1">
      <alignment/>
    </xf>
    <xf numFmtId="43" fontId="0" fillId="8" borderId="3" xfId="15" applyNumberFormat="1" applyFill="1" applyBorder="1" applyAlignment="1">
      <alignment horizontal="center"/>
    </xf>
    <xf numFmtId="43" fontId="0" fillId="0" borderId="2" xfId="0" applyNumberFormat="1" applyBorder="1" applyAlignment="1">
      <alignment/>
    </xf>
    <xf numFmtId="0" fontId="8" fillId="8" borderId="23" xfId="0" applyFont="1" applyFill="1" applyBorder="1" applyAlignment="1">
      <alignment horizontal="center"/>
    </xf>
    <xf numFmtId="43" fontId="0" fillId="8" borderId="17" xfId="15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198" fontId="0" fillId="19" borderId="17" xfId="15" applyNumberFormat="1" applyFill="1" applyBorder="1" applyAlignment="1">
      <alignment/>
    </xf>
    <xf numFmtId="43" fontId="0" fillId="19" borderId="4" xfId="15" applyFill="1" applyBorder="1" applyAlignment="1">
      <alignment/>
    </xf>
    <xf numFmtId="43" fontId="0" fillId="19" borderId="4" xfId="15" applyNumberFormat="1" applyFill="1" applyBorder="1" applyAlignment="1">
      <alignment horizontal="center"/>
    </xf>
    <xf numFmtId="43" fontId="10" fillId="19" borderId="22" xfId="0" applyNumberFormat="1" applyFont="1" applyFill="1" applyBorder="1" applyAlignment="1">
      <alignment horizontal="center"/>
    </xf>
    <xf numFmtId="43" fontId="8" fillId="19" borderId="21" xfId="0" applyNumberFormat="1" applyFont="1" applyFill="1" applyBorder="1" applyAlignment="1">
      <alignment horizontal="center"/>
    </xf>
    <xf numFmtId="43" fontId="8" fillId="19" borderId="21" xfId="15" applyFont="1" applyFill="1" applyBorder="1" applyAlignment="1">
      <alignment horizontal="center"/>
    </xf>
    <xf numFmtId="0" fontId="8" fillId="19" borderId="23" xfId="0" applyFont="1" applyFill="1" applyBorder="1" applyAlignment="1">
      <alignment horizontal="center"/>
    </xf>
    <xf numFmtId="43" fontId="0" fillId="11" borderId="0" xfId="15" applyFill="1" applyBorder="1" applyAlignment="1">
      <alignment/>
    </xf>
    <xf numFmtId="2" fontId="9" fillId="11" borderId="26" xfId="0" applyNumberFormat="1" applyFont="1" applyFill="1" applyBorder="1" applyAlignment="1">
      <alignment/>
    </xf>
    <xf numFmtId="2" fontId="9" fillId="11" borderId="22" xfId="0" applyNumberFormat="1" applyFont="1" applyFill="1" applyBorder="1" applyAlignment="1">
      <alignment/>
    </xf>
    <xf numFmtId="43" fontId="4" fillId="15" borderId="18" xfId="15" applyFont="1" applyFill="1" applyBorder="1" applyAlignment="1">
      <alignment/>
    </xf>
    <xf numFmtId="0" fontId="10" fillId="11" borderId="22" xfId="0" applyFont="1" applyFill="1" applyBorder="1" applyAlignment="1">
      <alignment/>
    </xf>
    <xf numFmtId="0" fontId="0" fillId="9" borderId="17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98" fontId="0" fillId="9" borderId="17" xfId="15" applyNumberFormat="1" applyFill="1" applyBorder="1" applyAlignment="1">
      <alignment/>
    </xf>
    <xf numFmtId="43" fontId="0" fillId="9" borderId="4" xfId="15" applyFill="1" applyBorder="1" applyAlignment="1">
      <alignment/>
    </xf>
    <xf numFmtId="43" fontId="0" fillId="9" borderId="4" xfId="15" applyNumberFormat="1" applyFill="1" applyBorder="1" applyAlignment="1">
      <alignment horizontal="center"/>
    </xf>
    <xf numFmtId="43" fontId="0" fillId="9" borderId="17" xfId="15" applyFill="1" applyBorder="1" applyAlignment="1">
      <alignment/>
    </xf>
    <xf numFmtId="0" fontId="9" fillId="11" borderId="26" xfId="0" applyFont="1" applyFill="1" applyBorder="1" applyAlignment="1">
      <alignment/>
    </xf>
    <xf numFmtId="2" fontId="8" fillId="16" borderId="21" xfId="0" applyNumberFormat="1" applyFont="1" applyFill="1" applyBorder="1" applyAlignment="1">
      <alignment horizontal="center"/>
    </xf>
    <xf numFmtId="0" fontId="8" fillId="15" borderId="28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43" fontId="9" fillId="11" borderId="22" xfId="15" applyFont="1" applyFill="1" applyBorder="1" applyAlignment="1">
      <alignment/>
    </xf>
    <xf numFmtId="0" fontId="12" fillId="22" borderId="7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/>
    </xf>
    <xf numFmtId="0" fontId="12" fillId="22" borderId="29" xfId="0" applyFont="1" applyFill="1" applyBorder="1" applyAlignment="1">
      <alignment horizontal="center"/>
    </xf>
    <xf numFmtId="0" fontId="13" fillId="22" borderId="0" xfId="0" applyFont="1" applyFill="1" applyAlignment="1">
      <alignment/>
    </xf>
    <xf numFmtId="0" fontId="14" fillId="9" borderId="1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198" fontId="14" fillId="9" borderId="10" xfId="15" applyNumberFormat="1" applyFont="1" applyFill="1" applyBorder="1" applyAlignment="1">
      <alignment/>
    </xf>
    <xf numFmtId="43" fontId="14" fillId="9" borderId="2" xfId="15" applyFont="1" applyFill="1" applyBorder="1" applyAlignment="1">
      <alignment/>
    </xf>
    <xf numFmtId="43" fontId="14" fillId="9" borderId="10" xfId="15" applyFont="1" applyFill="1" applyBorder="1" applyAlignment="1">
      <alignment/>
    </xf>
    <xf numFmtId="43" fontId="14" fillId="9" borderId="2" xfId="15" applyNumberFormat="1" applyFont="1" applyFill="1" applyBorder="1" applyAlignment="1">
      <alignment horizontal="center"/>
    </xf>
    <xf numFmtId="43" fontId="0" fillId="11" borderId="10" xfId="15" applyFill="1" applyBorder="1" applyAlignment="1">
      <alignment/>
    </xf>
    <xf numFmtId="0" fontId="8" fillId="5" borderId="23" xfId="0" applyFont="1" applyFill="1" applyBorder="1" applyAlignment="1">
      <alignment horizontal="center"/>
    </xf>
    <xf numFmtId="43" fontId="8" fillId="5" borderId="21" xfId="0" applyNumberFormat="1" applyFont="1" applyFill="1" applyBorder="1" applyAlignment="1">
      <alignment horizontal="center"/>
    </xf>
    <xf numFmtId="43" fontId="10" fillId="5" borderId="22" xfId="0" applyNumberFormat="1" applyFont="1" applyFill="1" applyBorder="1" applyAlignment="1">
      <alignment horizontal="center"/>
    </xf>
    <xf numFmtId="43" fontId="9" fillId="19" borderId="26" xfId="0" applyNumberFormat="1" applyFont="1" applyFill="1" applyBorder="1" applyAlignment="1">
      <alignment horizontal="center"/>
    </xf>
    <xf numFmtId="43" fontId="9" fillId="9" borderId="26" xfId="0" applyNumberFormat="1" applyFont="1" applyFill="1" applyBorder="1" applyAlignment="1">
      <alignment horizontal="center"/>
    </xf>
    <xf numFmtId="43" fontId="9" fillId="19" borderId="22" xfId="0" applyNumberFormat="1" applyFont="1" applyFill="1" applyBorder="1" applyAlignment="1">
      <alignment horizontal="center"/>
    </xf>
    <xf numFmtId="43" fontId="17" fillId="19" borderId="22" xfId="0" applyNumberFormat="1" applyFont="1" applyFill="1" applyBorder="1" applyAlignment="1">
      <alignment horizontal="center"/>
    </xf>
    <xf numFmtId="43" fontId="17" fillId="19" borderId="26" xfId="0" applyNumberFormat="1" applyFont="1" applyFill="1" applyBorder="1" applyAlignment="1">
      <alignment horizontal="center"/>
    </xf>
    <xf numFmtId="43" fontId="9" fillId="15" borderId="26" xfId="0" applyNumberFormat="1" applyFont="1" applyFill="1" applyBorder="1" applyAlignment="1">
      <alignment horizontal="center"/>
    </xf>
    <xf numFmtId="43" fontId="9" fillId="8" borderId="26" xfId="0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98" fontId="0" fillId="6" borderId="17" xfId="15" applyNumberFormat="1" applyFill="1" applyBorder="1" applyAlignment="1">
      <alignment/>
    </xf>
    <xf numFmtId="43" fontId="0" fillId="6" borderId="4" xfId="15" applyFill="1" applyBorder="1" applyAlignment="1">
      <alignment/>
    </xf>
    <xf numFmtId="43" fontId="0" fillId="6" borderId="17" xfId="15" applyFill="1" applyBorder="1" applyAlignment="1">
      <alignment/>
    </xf>
    <xf numFmtId="43" fontId="0" fillId="6" borderId="4" xfId="15" applyNumberFormat="1" applyFill="1" applyBorder="1" applyAlignment="1">
      <alignment horizontal="center"/>
    </xf>
    <xf numFmtId="43" fontId="8" fillId="6" borderId="21" xfId="15" applyFont="1" applyFill="1" applyBorder="1" applyAlignment="1">
      <alignment horizontal="center"/>
    </xf>
    <xf numFmtId="43" fontId="8" fillId="5" borderId="21" xfId="15" applyFont="1" applyFill="1" applyBorder="1" applyAlignment="1">
      <alignment horizontal="center"/>
    </xf>
    <xf numFmtId="0" fontId="15" fillId="13" borderId="5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198" fontId="15" fillId="13" borderId="5" xfId="15" applyNumberFormat="1" applyFont="1" applyFill="1" applyBorder="1" applyAlignment="1">
      <alignment/>
    </xf>
    <xf numFmtId="43" fontId="15" fillId="13" borderId="3" xfId="15" applyFont="1" applyFill="1" applyBorder="1" applyAlignment="1">
      <alignment/>
    </xf>
    <xf numFmtId="43" fontId="15" fillId="13" borderId="3" xfId="15" applyNumberFormat="1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  <xf numFmtId="0" fontId="16" fillId="13" borderId="21" xfId="0" applyFont="1" applyFill="1" applyBorder="1" applyAlignment="1">
      <alignment horizontal="center"/>
    </xf>
    <xf numFmtId="43" fontId="16" fillId="13" borderId="21" xfId="0" applyNumberFormat="1" applyFont="1" applyFill="1" applyBorder="1" applyAlignment="1">
      <alignment horizontal="center"/>
    </xf>
    <xf numFmtId="43" fontId="16" fillId="13" borderId="21" xfId="15" applyFont="1" applyFill="1" applyBorder="1" applyAlignment="1">
      <alignment horizontal="center"/>
    </xf>
    <xf numFmtId="43" fontId="9" fillId="13" borderId="22" xfId="0" applyNumberFormat="1" applyFont="1" applyFill="1" applyBorder="1" applyAlignment="1">
      <alignment horizontal="center"/>
    </xf>
    <xf numFmtId="43" fontId="10" fillId="6" borderId="22" xfId="0" applyNumberFormat="1" applyFont="1" applyFill="1" applyBorder="1" applyAlignment="1">
      <alignment horizontal="center"/>
    </xf>
    <xf numFmtId="43" fontId="0" fillId="5" borderId="10" xfId="15" applyFill="1" applyBorder="1" applyAlignment="1">
      <alignment/>
    </xf>
    <xf numFmtId="43" fontId="4" fillId="5" borderId="15" xfId="15" applyFont="1" applyFill="1" applyBorder="1" applyAlignment="1">
      <alignment/>
    </xf>
    <xf numFmtId="43" fontId="4" fillId="6" borderId="12" xfId="15" applyFont="1" applyFill="1" applyBorder="1" applyAlignment="1">
      <alignment/>
    </xf>
    <xf numFmtId="0" fontId="8" fillId="10" borderId="23" xfId="0" applyFont="1" applyFill="1" applyBorder="1" applyAlignment="1">
      <alignment horizontal="center"/>
    </xf>
    <xf numFmtId="43" fontId="9" fillId="10" borderId="22" xfId="0" applyNumberFormat="1" applyFont="1" applyFill="1" applyBorder="1" applyAlignment="1">
      <alignment horizontal="center"/>
    </xf>
    <xf numFmtId="43" fontId="8" fillId="10" borderId="21" xfId="15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198" fontId="0" fillId="20" borderId="17" xfId="15" applyNumberFormat="1" applyFill="1" applyBorder="1" applyAlignment="1">
      <alignment/>
    </xf>
    <xf numFmtId="43" fontId="0" fillId="20" borderId="4" xfId="15" applyFill="1" applyBorder="1" applyAlignment="1">
      <alignment/>
    </xf>
    <xf numFmtId="43" fontId="0" fillId="20" borderId="4" xfId="15" applyNumberForma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43" fontId="9" fillId="20" borderId="22" xfId="0" applyNumberFormat="1" applyFont="1" applyFill="1" applyBorder="1" applyAlignment="1">
      <alignment horizontal="center"/>
    </xf>
    <xf numFmtId="43" fontId="8" fillId="20" borderId="21" xfId="0" applyNumberFormat="1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5" borderId="26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8" fillId="19" borderId="28" xfId="0" applyFont="1" applyFill="1" applyBorder="1" applyAlignment="1">
      <alignment horizontal="center"/>
    </xf>
    <xf numFmtId="0" fontId="8" fillId="19" borderId="26" xfId="0" applyFont="1" applyFill="1" applyBorder="1" applyAlignment="1">
      <alignment horizontal="center"/>
    </xf>
    <xf numFmtId="0" fontId="8" fillId="13" borderId="23" xfId="0" applyFont="1" applyFill="1" applyBorder="1" applyAlignment="1">
      <alignment horizontal="center"/>
    </xf>
    <xf numFmtId="0" fontId="8" fillId="13" borderId="28" xfId="0" applyFont="1" applyFill="1" applyBorder="1" applyAlignment="1">
      <alignment horizontal="center"/>
    </xf>
    <xf numFmtId="0" fontId="8" fillId="13" borderId="26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43" fontId="8" fillId="8" borderId="21" xfId="0" applyNumberFormat="1" applyFont="1" applyFill="1" applyBorder="1" applyAlignment="1">
      <alignment horizontal="center"/>
    </xf>
    <xf numFmtId="43" fontId="8" fillId="8" borderId="21" xfId="15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16" borderId="28" xfId="0" applyFont="1" applyFill="1" applyBorder="1" applyAlignment="1">
      <alignment horizontal="center"/>
    </xf>
    <xf numFmtId="0" fontId="8" fillId="16" borderId="26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10" fillId="21" borderId="23" xfId="0" applyFont="1" applyFill="1" applyBorder="1" applyAlignment="1">
      <alignment horizontal="center"/>
    </xf>
    <xf numFmtId="0" fontId="10" fillId="21" borderId="28" xfId="0" applyFont="1" applyFill="1" applyBorder="1" applyAlignment="1">
      <alignment horizontal="center"/>
    </xf>
    <xf numFmtId="0" fontId="10" fillId="21" borderId="2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43" fontId="8" fillId="20" borderId="21" xfId="15" applyFont="1" applyFill="1" applyBorder="1" applyAlignment="1">
      <alignment horizontal="center"/>
    </xf>
    <xf numFmtId="43" fontId="8" fillId="16" borderId="21" xfId="0" applyNumberFormat="1" applyFont="1" applyFill="1" applyBorder="1" applyAlignment="1">
      <alignment horizontal="center"/>
    </xf>
    <xf numFmtId="43" fontId="9" fillId="16" borderId="22" xfId="15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1" fillId="14" borderId="3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1">
      <selection activeCell="N118" sqref="N118"/>
    </sheetView>
  </sheetViews>
  <sheetFormatPr defaultColWidth="9.140625" defaultRowHeight="21.75"/>
  <cols>
    <col min="1" max="1" width="13.140625" style="0" customWidth="1"/>
    <col min="2" max="2" width="9.7109375" style="0" customWidth="1"/>
    <col min="3" max="3" width="8.7109375" style="0" customWidth="1"/>
    <col min="4" max="4" width="4.7109375" style="0" customWidth="1"/>
    <col min="5" max="5" width="9.7109375" style="0" customWidth="1"/>
    <col min="6" max="6" width="10.00390625" style="0" bestFit="1" customWidth="1"/>
    <col min="7" max="7" width="8.00390625" style="0" customWidth="1"/>
    <col min="8" max="8" width="7.7109375" style="0" customWidth="1"/>
    <col min="9" max="9" width="12.57421875" style="0" customWidth="1"/>
    <col min="10" max="10" width="13.00390625" style="0" customWidth="1"/>
    <col min="11" max="11" width="11.57421875" style="0" customWidth="1"/>
    <col min="12" max="12" width="9.8515625" style="0" customWidth="1"/>
    <col min="13" max="13" width="6.8515625" style="0" customWidth="1"/>
    <col min="14" max="14" width="9.8515625" style="0" customWidth="1"/>
  </cols>
  <sheetData>
    <row r="1" spans="1:12" ht="22.5" thickBot="1">
      <c r="A1" s="497" t="s">
        <v>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9"/>
    </row>
    <row r="2" spans="1:12" ht="22.5" thickBot="1">
      <c r="A2" s="36" t="s">
        <v>8</v>
      </c>
      <c r="B2" s="36" t="s">
        <v>9</v>
      </c>
      <c r="C2" s="36" t="s">
        <v>10</v>
      </c>
      <c r="D2" s="36" t="s">
        <v>18</v>
      </c>
      <c r="E2" s="36" t="s">
        <v>11</v>
      </c>
      <c r="F2" s="36" t="s">
        <v>12</v>
      </c>
      <c r="G2" s="36" t="s">
        <v>13</v>
      </c>
      <c r="H2" s="36" t="s">
        <v>14</v>
      </c>
      <c r="I2" s="36" t="s">
        <v>15</v>
      </c>
      <c r="J2" s="36" t="s">
        <v>16</v>
      </c>
      <c r="K2" s="36" t="s">
        <v>32</v>
      </c>
      <c r="L2" s="36" t="s">
        <v>17</v>
      </c>
    </row>
    <row r="3" spans="1:12" ht="21.75">
      <c r="A3" s="31" t="s">
        <v>19</v>
      </c>
      <c r="B3" s="3"/>
      <c r="C3" s="42" t="s">
        <v>2</v>
      </c>
      <c r="D3" s="6" t="s">
        <v>1</v>
      </c>
      <c r="E3" s="43">
        <v>1200</v>
      </c>
      <c r="F3" s="44">
        <v>12</v>
      </c>
      <c r="G3" s="45">
        <f aca="true" t="shared" si="0" ref="G3:G66">จำนวน*ราคา*0.002</f>
        <v>28.8</v>
      </c>
      <c r="H3" s="46">
        <f aca="true" t="shared" si="1" ref="H3:H66">คอม*0.07</f>
        <v>2.0160000000000005</v>
      </c>
      <c r="I3" s="47">
        <f aca="true" t="shared" si="2" ref="I3:I66">IF(ซื้อขาย="b",((จำนวน*ราคา)+คอม+ภาษี)*(-1),IF(ซื้อขาย="s",(จำนวน*ราคา)-คอม-ภาษี,))</f>
        <v>14369.184000000001</v>
      </c>
      <c r="J3" s="38">
        <f>SUM(I3:I4)</f>
        <v>-7728.002999999997</v>
      </c>
      <c r="K3" s="37">
        <f>28023.03+I3</f>
        <v>42392.214</v>
      </c>
      <c r="L3" s="54">
        <f>-14161.35+14369.18</f>
        <v>207.82999999999993</v>
      </c>
    </row>
    <row r="4" spans="1:12" ht="22.5" thickBot="1">
      <c r="A4" s="33"/>
      <c r="B4" s="4"/>
      <c r="C4" s="48" t="s">
        <v>4</v>
      </c>
      <c r="D4" s="49" t="s">
        <v>0</v>
      </c>
      <c r="E4" s="50">
        <v>1500</v>
      </c>
      <c r="F4" s="51">
        <v>14.7</v>
      </c>
      <c r="G4" s="52">
        <f t="shared" si="0"/>
        <v>44.1</v>
      </c>
      <c r="H4" s="52">
        <f t="shared" si="1"/>
        <v>3.087</v>
      </c>
      <c r="I4" s="53">
        <f t="shared" si="2"/>
        <v>-22097.186999999998</v>
      </c>
      <c r="J4" s="39"/>
      <c r="K4" s="40">
        <f aca="true" t="shared" si="3" ref="K4:K67">K3+I4</f>
        <v>20295.027000000002</v>
      </c>
      <c r="L4" s="41"/>
    </row>
    <row r="5" spans="1:12" ht="22.5" thickBot="1">
      <c r="A5" s="55" t="s">
        <v>20</v>
      </c>
      <c r="B5" s="5"/>
      <c r="C5" s="59" t="s">
        <v>21</v>
      </c>
      <c r="D5" s="60" t="s">
        <v>0</v>
      </c>
      <c r="E5" s="61">
        <v>800</v>
      </c>
      <c r="F5" s="62">
        <v>22.7</v>
      </c>
      <c r="G5" s="63">
        <f t="shared" si="0"/>
        <v>36.32</v>
      </c>
      <c r="H5" s="63">
        <f t="shared" si="1"/>
        <v>2.5424</v>
      </c>
      <c r="I5" s="64">
        <f t="shared" si="2"/>
        <v>-18198.862399999998</v>
      </c>
      <c r="J5" s="56">
        <f>I5</f>
        <v>-18198.862399999998</v>
      </c>
      <c r="K5" s="57">
        <f t="shared" si="3"/>
        <v>2096.1646000000037</v>
      </c>
      <c r="L5" s="58"/>
    </row>
    <row r="6" spans="1:14" ht="21.75">
      <c r="A6" s="31" t="s">
        <v>22</v>
      </c>
      <c r="B6" s="3"/>
      <c r="C6" s="70" t="s">
        <v>6</v>
      </c>
      <c r="D6" s="71" t="s">
        <v>1</v>
      </c>
      <c r="E6" s="72">
        <v>1300</v>
      </c>
      <c r="F6" s="73">
        <v>4.7</v>
      </c>
      <c r="G6" s="74">
        <f t="shared" si="0"/>
        <v>12.22</v>
      </c>
      <c r="H6" s="73">
        <f t="shared" si="1"/>
        <v>0.8554000000000002</v>
      </c>
      <c r="I6" s="75">
        <f t="shared" si="2"/>
        <v>6096.924599999999</v>
      </c>
      <c r="J6" s="76">
        <f>SUM(I6:I8)</f>
        <v>5713.433599999999</v>
      </c>
      <c r="K6" s="37">
        <f t="shared" si="3"/>
        <v>8193.089200000002</v>
      </c>
      <c r="L6" s="77">
        <f>I6-7165.3</f>
        <v>-1068.3754000000008</v>
      </c>
      <c r="N6" s="2"/>
    </row>
    <row r="7" spans="1:12" ht="21.75">
      <c r="A7" s="32"/>
      <c r="B7" s="1"/>
      <c r="C7" s="65" t="s">
        <v>23</v>
      </c>
      <c r="D7" s="66" t="s">
        <v>0</v>
      </c>
      <c r="E7" s="67">
        <v>400</v>
      </c>
      <c r="F7" s="68">
        <v>20</v>
      </c>
      <c r="G7" s="68">
        <f t="shared" si="0"/>
        <v>16</v>
      </c>
      <c r="H7" s="68">
        <f t="shared" si="1"/>
        <v>1.12</v>
      </c>
      <c r="I7" s="69">
        <f t="shared" si="2"/>
        <v>-8017.12</v>
      </c>
      <c r="J7" s="34"/>
      <c r="K7" s="35">
        <f t="shared" si="3"/>
        <v>175.96920000000227</v>
      </c>
      <c r="L7" s="78"/>
    </row>
    <row r="8" spans="1:12" ht="22.5" thickBot="1">
      <c r="A8" s="33"/>
      <c r="B8" s="4"/>
      <c r="C8" s="48" t="s">
        <v>4</v>
      </c>
      <c r="D8" s="49" t="s">
        <v>1</v>
      </c>
      <c r="E8" s="50">
        <v>500</v>
      </c>
      <c r="F8" s="52">
        <v>15.3</v>
      </c>
      <c r="G8" s="52">
        <f t="shared" si="0"/>
        <v>15.3</v>
      </c>
      <c r="H8" s="52">
        <f t="shared" si="1"/>
        <v>1.0710000000000002</v>
      </c>
      <c r="I8" s="53">
        <f t="shared" si="2"/>
        <v>7633.629</v>
      </c>
      <c r="J8" s="39"/>
      <c r="K8" s="40">
        <f t="shared" si="3"/>
        <v>7809.598200000002</v>
      </c>
      <c r="L8" s="41"/>
    </row>
    <row r="9" spans="1:12" ht="21.75">
      <c r="A9" s="31" t="s">
        <v>24</v>
      </c>
      <c r="B9" s="3"/>
      <c r="C9" s="83" t="s">
        <v>4</v>
      </c>
      <c r="D9" s="84" t="s">
        <v>1</v>
      </c>
      <c r="E9" s="85">
        <v>1000</v>
      </c>
      <c r="F9" s="86">
        <v>15.9</v>
      </c>
      <c r="G9" s="87">
        <f t="shared" si="0"/>
        <v>31.8</v>
      </c>
      <c r="H9" s="86">
        <f t="shared" si="1"/>
        <v>2.2260000000000004</v>
      </c>
      <c r="I9" s="88">
        <f t="shared" si="2"/>
        <v>15865.974</v>
      </c>
      <c r="J9" s="76">
        <f>SUM(I9:I11)</f>
        <v>44005.626000000004</v>
      </c>
      <c r="K9" s="37">
        <f t="shared" si="3"/>
        <v>23675.572200000002</v>
      </c>
      <c r="L9" s="89">
        <f>I4+I8+I9</f>
        <v>1402.416000000003</v>
      </c>
    </row>
    <row r="10" spans="1:12" ht="21.75">
      <c r="A10" s="32"/>
      <c r="B10" s="1"/>
      <c r="C10" s="79" t="s">
        <v>3</v>
      </c>
      <c r="D10" s="25" t="s">
        <v>1</v>
      </c>
      <c r="E10" s="80">
        <v>1000</v>
      </c>
      <c r="F10" s="81">
        <v>14.2</v>
      </c>
      <c r="G10" s="81">
        <f t="shared" si="0"/>
        <v>28.400000000000002</v>
      </c>
      <c r="H10" s="81">
        <f t="shared" si="1"/>
        <v>1.9880000000000004</v>
      </c>
      <c r="I10" s="82">
        <f t="shared" si="2"/>
        <v>14169.612000000001</v>
      </c>
      <c r="J10" s="34"/>
      <c r="K10" s="35">
        <f t="shared" si="3"/>
        <v>37845.1842</v>
      </c>
      <c r="L10" s="78"/>
    </row>
    <row r="11" spans="1:12" ht="22.5" thickBot="1">
      <c r="A11" s="33"/>
      <c r="B11" s="4"/>
      <c r="C11" s="90" t="s">
        <v>3</v>
      </c>
      <c r="D11" s="22" t="s">
        <v>1</v>
      </c>
      <c r="E11" s="91">
        <v>1000</v>
      </c>
      <c r="F11" s="92">
        <v>14</v>
      </c>
      <c r="G11" s="92">
        <f t="shared" si="0"/>
        <v>28</v>
      </c>
      <c r="H11" s="92">
        <f t="shared" si="1"/>
        <v>1.9600000000000002</v>
      </c>
      <c r="I11" s="93">
        <f t="shared" si="2"/>
        <v>13970.04</v>
      </c>
      <c r="J11" s="39"/>
      <c r="K11" s="40">
        <f t="shared" si="3"/>
        <v>51815.224200000004</v>
      </c>
      <c r="L11" s="41"/>
    </row>
    <row r="12" spans="1:12" ht="22.5" thickBot="1">
      <c r="A12" s="55" t="s">
        <v>26</v>
      </c>
      <c r="B12" s="5"/>
      <c r="C12" s="96" t="s">
        <v>27</v>
      </c>
      <c r="D12" s="27" t="s">
        <v>0</v>
      </c>
      <c r="E12" s="97">
        <v>700</v>
      </c>
      <c r="F12" s="98">
        <v>30.5</v>
      </c>
      <c r="G12" s="99">
        <f t="shared" si="0"/>
        <v>42.7</v>
      </c>
      <c r="H12" s="98">
        <f t="shared" si="1"/>
        <v>2.9890000000000003</v>
      </c>
      <c r="I12" s="100">
        <f t="shared" si="2"/>
        <v>-21395.689000000002</v>
      </c>
      <c r="J12" s="56">
        <f>I12</f>
        <v>-21395.689000000002</v>
      </c>
      <c r="K12" s="57">
        <f t="shared" si="3"/>
        <v>30419.535200000002</v>
      </c>
      <c r="L12" s="58"/>
    </row>
    <row r="13" spans="1:12" ht="21.75">
      <c r="A13" s="31" t="s">
        <v>28</v>
      </c>
      <c r="B13" s="3"/>
      <c r="C13" s="101" t="s">
        <v>7</v>
      </c>
      <c r="D13" s="12" t="s">
        <v>1</v>
      </c>
      <c r="E13" s="102">
        <v>5000</v>
      </c>
      <c r="F13" s="103">
        <v>3.06</v>
      </c>
      <c r="G13" s="103">
        <f t="shared" si="0"/>
        <v>30.6</v>
      </c>
      <c r="H13" s="103">
        <f t="shared" si="1"/>
        <v>2.1420000000000003</v>
      </c>
      <c r="I13" s="104">
        <f t="shared" si="2"/>
        <v>15267.258</v>
      </c>
      <c r="J13" s="76">
        <f>SUM(I13:I14)</f>
        <v>6197.891</v>
      </c>
      <c r="K13" s="37">
        <f t="shared" si="3"/>
        <v>45686.7932</v>
      </c>
      <c r="L13" s="105">
        <f>-15132.31+I13</f>
        <v>134.94800000000032</v>
      </c>
    </row>
    <row r="14" spans="1:12" ht="22.5" thickBot="1">
      <c r="A14" s="33"/>
      <c r="B14" s="4"/>
      <c r="C14" s="106" t="s">
        <v>29</v>
      </c>
      <c r="D14" s="107" t="s">
        <v>0</v>
      </c>
      <c r="E14" s="108">
        <v>1000</v>
      </c>
      <c r="F14" s="109">
        <v>9.05</v>
      </c>
      <c r="G14" s="109">
        <f t="shared" si="0"/>
        <v>18.1</v>
      </c>
      <c r="H14" s="109">
        <f t="shared" si="1"/>
        <v>1.2670000000000001</v>
      </c>
      <c r="I14" s="110">
        <f t="shared" si="2"/>
        <v>-9069.367</v>
      </c>
      <c r="J14" s="39"/>
      <c r="K14" s="40">
        <f t="shared" si="3"/>
        <v>36617.4262</v>
      </c>
      <c r="L14" s="41"/>
    </row>
    <row r="15" spans="1:12" ht="21.75">
      <c r="A15" s="31" t="s">
        <v>30</v>
      </c>
      <c r="B15" s="3"/>
      <c r="C15" s="111" t="s">
        <v>29</v>
      </c>
      <c r="D15" s="112" t="s">
        <v>1</v>
      </c>
      <c r="E15" s="113">
        <v>1000</v>
      </c>
      <c r="F15" s="114">
        <v>9.2</v>
      </c>
      <c r="G15" s="115">
        <f t="shared" si="0"/>
        <v>18.400000000000002</v>
      </c>
      <c r="H15" s="114">
        <f t="shared" si="1"/>
        <v>1.2880000000000003</v>
      </c>
      <c r="I15" s="116">
        <f t="shared" si="2"/>
        <v>9180.312</v>
      </c>
      <c r="J15" s="76">
        <f>SUM(I15:I16)</f>
        <v>261.26600000000144</v>
      </c>
      <c r="K15" s="37">
        <f t="shared" si="3"/>
        <v>45797.7382</v>
      </c>
      <c r="L15" s="117">
        <f>SUM(I14:I15)</f>
        <v>110.94499999999971</v>
      </c>
    </row>
    <row r="16" spans="1:12" ht="22.5" thickBot="1">
      <c r="A16" s="33"/>
      <c r="B16" s="4"/>
      <c r="C16" s="118" t="s">
        <v>31</v>
      </c>
      <c r="D16" s="119" t="s">
        <v>0</v>
      </c>
      <c r="E16" s="120">
        <v>1000</v>
      </c>
      <c r="F16" s="121">
        <v>8.9</v>
      </c>
      <c r="G16" s="121">
        <f t="shared" si="0"/>
        <v>17.8</v>
      </c>
      <c r="H16" s="121">
        <f t="shared" si="1"/>
        <v>1.2460000000000002</v>
      </c>
      <c r="I16" s="122">
        <f t="shared" si="2"/>
        <v>-8919.045999999998</v>
      </c>
      <c r="J16" s="39"/>
      <c r="K16" s="40">
        <f t="shared" si="3"/>
        <v>36878.692200000005</v>
      </c>
      <c r="L16" s="41"/>
    </row>
    <row r="17" spans="1:12" ht="21.75">
      <c r="A17" s="31" t="s">
        <v>33</v>
      </c>
      <c r="B17" s="3"/>
      <c r="C17" s="123" t="s">
        <v>27</v>
      </c>
      <c r="D17" s="11" t="s">
        <v>0</v>
      </c>
      <c r="E17" s="124">
        <v>300</v>
      </c>
      <c r="F17" s="125">
        <v>28.75</v>
      </c>
      <c r="G17" s="125">
        <f t="shared" si="0"/>
        <v>17.25</v>
      </c>
      <c r="H17" s="125">
        <f t="shared" si="1"/>
        <v>1.2075</v>
      </c>
      <c r="I17" s="126">
        <f t="shared" si="2"/>
        <v>-8643.4575</v>
      </c>
      <c r="J17" s="76">
        <f>SUM(I17:I18)</f>
        <v>-17061.4335</v>
      </c>
      <c r="K17" s="37">
        <f t="shared" si="3"/>
        <v>28235.234700000005</v>
      </c>
      <c r="L17" s="127"/>
    </row>
    <row r="18" spans="1:12" ht="22.5" thickBot="1">
      <c r="A18" s="33"/>
      <c r="B18" s="4"/>
      <c r="C18" s="26" t="s">
        <v>27</v>
      </c>
      <c r="D18" s="17" t="s">
        <v>0</v>
      </c>
      <c r="E18" s="128">
        <v>300</v>
      </c>
      <c r="F18" s="129">
        <v>28</v>
      </c>
      <c r="G18" s="130">
        <f t="shared" si="0"/>
        <v>16.8</v>
      </c>
      <c r="H18" s="129">
        <f t="shared" si="1"/>
        <v>1.1760000000000002</v>
      </c>
      <c r="I18" s="131">
        <f t="shared" si="2"/>
        <v>-8417.975999999999</v>
      </c>
      <c r="J18" s="39"/>
      <c r="K18" s="40">
        <f t="shared" si="3"/>
        <v>19817.258700000006</v>
      </c>
      <c r="L18" s="41"/>
    </row>
    <row r="19" spans="1:12" ht="22.5" thickBot="1">
      <c r="A19" s="55" t="s">
        <v>34</v>
      </c>
      <c r="B19" s="5"/>
      <c r="C19" s="132" t="s">
        <v>31</v>
      </c>
      <c r="D19" s="133" t="s">
        <v>1</v>
      </c>
      <c r="E19" s="134">
        <v>1000</v>
      </c>
      <c r="F19" s="135">
        <v>8.85</v>
      </c>
      <c r="G19" s="135">
        <f t="shared" si="0"/>
        <v>17.7</v>
      </c>
      <c r="H19" s="135">
        <f t="shared" si="1"/>
        <v>1.239</v>
      </c>
      <c r="I19" s="136">
        <f t="shared" si="2"/>
        <v>8831.061</v>
      </c>
      <c r="J19" s="56">
        <f>I19</f>
        <v>8831.061</v>
      </c>
      <c r="K19" s="57">
        <f t="shared" si="3"/>
        <v>28648.319700000007</v>
      </c>
      <c r="L19" s="137">
        <f>I16+I19</f>
        <v>-87.98499999999876</v>
      </c>
    </row>
    <row r="20" spans="1:12" ht="21.75">
      <c r="A20" s="31" t="s">
        <v>35</v>
      </c>
      <c r="B20" s="3"/>
      <c r="C20" s="143" t="s">
        <v>21</v>
      </c>
      <c r="D20" s="18" t="s">
        <v>0</v>
      </c>
      <c r="E20" s="144">
        <v>1000</v>
      </c>
      <c r="F20" s="145">
        <v>20.5</v>
      </c>
      <c r="G20" s="145">
        <f t="shared" si="0"/>
        <v>41</v>
      </c>
      <c r="H20" s="145">
        <f t="shared" si="1"/>
        <v>2.87</v>
      </c>
      <c r="I20" s="146">
        <f t="shared" si="2"/>
        <v>-20543.87</v>
      </c>
      <c r="J20" s="76">
        <f>SUM(I20:I22)</f>
        <v>-5700.151999999997</v>
      </c>
      <c r="K20" s="37">
        <f t="shared" si="3"/>
        <v>8104.449700000008</v>
      </c>
      <c r="L20" s="127"/>
    </row>
    <row r="21" spans="1:12" ht="21.75">
      <c r="A21" s="32"/>
      <c r="B21" s="1"/>
      <c r="C21" s="138" t="s">
        <v>21</v>
      </c>
      <c r="D21" s="8" t="s">
        <v>1</v>
      </c>
      <c r="E21" s="139">
        <v>1000</v>
      </c>
      <c r="F21" s="140">
        <v>20.6</v>
      </c>
      <c r="G21" s="142">
        <f t="shared" si="0"/>
        <v>41.2</v>
      </c>
      <c r="H21" s="140">
        <f t="shared" si="1"/>
        <v>2.8840000000000003</v>
      </c>
      <c r="I21" s="141">
        <f t="shared" si="2"/>
        <v>20555.916</v>
      </c>
      <c r="J21" s="34"/>
      <c r="K21" s="35">
        <f t="shared" si="3"/>
        <v>28660.36570000001</v>
      </c>
      <c r="L21" s="78"/>
    </row>
    <row r="22" spans="1:14" ht="22.5" thickBot="1">
      <c r="A22" s="33"/>
      <c r="B22" s="4"/>
      <c r="C22" s="26" t="s">
        <v>27</v>
      </c>
      <c r="D22" s="17" t="s">
        <v>0</v>
      </c>
      <c r="E22" s="128">
        <v>200</v>
      </c>
      <c r="F22" s="129">
        <v>28.5</v>
      </c>
      <c r="G22" s="129">
        <f t="shared" si="0"/>
        <v>11.4</v>
      </c>
      <c r="H22" s="129">
        <f t="shared" si="1"/>
        <v>0.7980000000000002</v>
      </c>
      <c r="I22" s="131">
        <f t="shared" si="2"/>
        <v>-5712.197999999999</v>
      </c>
      <c r="J22" s="39"/>
      <c r="K22" s="40">
        <f t="shared" si="3"/>
        <v>22948.16770000001</v>
      </c>
      <c r="L22" s="41"/>
      <c r="N22" s="2"/>
    </row>
    <row r="23" spans="1:12" ht="22.5" thickBot="1">
      <c r="A23" s="55" t="s">
        <v>36</v>
      </c>
      <c r="B23" s="5"/>
      <c r="C23" s="147" t="s">
        <v>37</v>
      </c>
      <c r="D23" s="30" t="s">
        <v>0</v>
      </c>
      <c r="E23" s="148">
        <v>400</v>
      </c>
      <c r="F23" s="149">
        <v>53</v>
      </c>
      <c r="G23" s="149">
        <f t="shared" si="0"/>
        <v>42.4</v>
      </c>
      <c r="H23" s="149">
        <f t="shared" si="1"/>
        <v>2.968</v>
      </c>
      <c r="I23" s="150">
        <f t="shared" si="2"/>
        <v>-21245.368000000002</v>
      </c>
      <c r="J23" s="56">
        <f>I23</f>
        <v>-21245.368000000002</v>
      </c>
      <c r="K23" s="57">
        <f t="shared" si="3"/>
        <v>1702.7997000000069</v>
      </c>
      <c r="L23" s="58"/>
    </row>
    <row r="24" spans="1:12" ht="21.75">
      <c r="A24" s="31" t="s">
        <v>38</v>
      </c>
      <c r="B24" s="3"/>
      <c r="C24" s="123" t="s">
        <v>27</v>
      </c>
      <c r="D24" s="11" t="s">
        <v>1</v>
      </c>
      <c r="E24" s="124">
        <v>500</v>
      </c>
      <c r="F24" s="125">
        <v>31.5</v>
      </c>
      <c r="G24" s="151">
        <f t="shared" si="0"/>
        <v>31.5</v>
      </c>
      <c r="H24" s="125">
        <f t="shared" si="1"/>
        <v>2.205</v>
      </c>
      <c r="I24" s="126">
        <f t="shared" si="2"/>
        <v>15716.295</v>
      </c>
      <c r="J24" s="76">
        <f>SUM(I24:I25)</f>
        <v>308.3924999999999</v>
      </c>
      <c r="K24" s="37">
        <f t="shared" si="3"/>
        <v>17419.09470000001</v>
      </c>
      <c r="L24" s="127"/>
    </row>
    <row r="25" spans="1:12" ht="22.5" thickBot="1">
      <c r="A25" s="33"/>
      <c r="B25" s="4"/>
      <c r="C25" s="26" t="s">
        <v>27</v>
      </c>
      <c r="D25" s="17" t="s">
        <v>0</v>
      </c>
      <c r="E25" s="128">
        <v>500</v>
      </c>
      <c r="F25" s="129">
        <v>30.75</v>
      </c>
      <c r="G25" s="129">
        <f t="shared" si="0"/>
        <v>30.75</v>
      </c>
      <c r="H25" s="129">
        <f t="shared" si="1"/>
        <v>2.1525000000000003</v>
      </c>
      <c r="I25" s="131">
        <f t="shared" si="2"/>
        <v>-15407.9025</v>
      </c>
      <c r="J25" s="39"/>
      <c r="K25" s="40">
        <f t="shared" si="3"/>
        <v>2011.1922000000086</v>
      </c>
      <c r="L25" s="41"/>
    </row>
    <row r="26" spans="1:12" ht="22.5" thickBot="1">
      <c r="A26" s="55" t="s">
        <v>39</v>
      </c>
      <c r="B26" s="5"/>
      <c r="C26" s="147" t="s">
        <v>37</v>
      </c>
      <c r="D26" s="30" t="s">
        <v>1</v>
      </c>
      <c r="E26" s="148">
        <v>200</v>
      </c>
      <c r="F26" s="149">
        <v>51.5</v>
      </c>
      <c r="G26" s="149">
        <f t="shared" si="0"/>
        <v>20.6</v>
      </c>
      <c r="H26" s="149">
        <f t="shared" si="1"/>
        <v>1.4420000000000002</v>
      </c>
      <c r="I26" s="150">
        <f t="shared" si="2"/>
        <v>10277.958</v>
      </c>
      <c r="J26" s="56">
        <f>I26</f>
        <v>10277.958</v>
      </c>
      <c r="K26" s="57">
        <f t="shared" si="3"/>
        <v>12289.15020000001</v>
      </c>
      <c r="L26" s="58"/>
    </row>
    <row r="27" spans="1:12" ht="21.75">
      <c r="A27" s="31" t="s">
        <v>40</v>
      </c>
      <c r="B27" s="3"/>
      <c r="C27" s="152" t="s">
        <v>37</v>
      </c>
      <c r="D27" s="21" t="s">
        <v>1</v>
      </c>
      <c r="E27" s="153">
        <v>200</v>
      </c>
      <c r="F27" s="154">
        <v>58</v>
      </c>
      <c r="G27" s="155">
        <f t="shared" si="0"/>
        <v>23.2</v>
      </c>
      <c r="H27" s="154">
        <f t="shared" si="1"/>
        <v>1.624</v>
      </c>
      <c r="I27" s="156">
        <f t="shared" si="2"/>
        <v>11575.176</v>
      </c>
      <c r="J27" s="76">
        <f>SUM(I27:I28)</f>
        <v>-550.7180000000008</v>
      </c>
      <c r="K27" s="37">
        <f t="shared" si="3"/>
        <v>23864.32620000001</v>
      </c>
      <c r="L27" s="157">
        <f>I23+I26+I27</f>
        <v>607.7659999999978</v>
      </c>
    </row>
    <row r="28" spans="1:12" ht="22.5" thickBot="1">
      <c r="A28" s="33"/>
      <c r="B28" s="4"/>
      <c r="C28" s="26" t="s">
        <v>27</v>
      </c>
      <c r="D28" s="17" t="s">
        <v>0</v>
      </c>
      <c r="E28" s="128">
        <v>400</v>
      </c>
      <c r="F28" s="129">
        <v>30.25</v>
      </c>
      <c r="G28" s="129">
        <f t="shared" si="0"/>
        <v>24.2</v>
      </c>
      <c r="H28" s="129">
        <f t="shared" si="1"/>
        <v>1.6940000000000002</v>
      </c>
      <c r="I28" s="131">
        <f t="shared" si="2"/>
        <v>-12125.894</v>
      </c>
      <c r="J28" s="39"/>
      <c r="K28" s="40">
        <f t="shared" si="3"/>
        <v>11738.43220000001</v>
      </c>
      <c r="L28" s="41"/>
    </row>
    <row r="29" spans="1:14" ht="21.75">
      <c r="A29" s="31" t="s">
        <v>41</v>
      </c>
      <c r="B29" s="3"/>
      <c r="C29" s="123" t="s">
        <v>27</v>
      </c>
      <c r="D29" s="11" t="s">
        <v>1</v>
      </c>
      <c r="E29" s="124">
        <v>800</v>
      </c>
      <c r="F29" s="125">
        <v>31.5</v>
      </c>
      <c r="G29" s="125">
        <f t="shared" si="0"/>
        <v>50.4</v>
      </c>
      <c r="H29" s="125">
        <f t="shared" si="1"/>
        <v>3.528</v>
      </c>
      <c r="I29" s="126">
        <f t="shared" si="2"/>
        <v>25146.072</v>
      </c>
      <c r="J29" s="76">
        <f>SUM(I29:I30)</f>
        <v>33927.24</v>
      </c>
      <c r="K29" s="37">
        <f t="shared" si="3"/>
        <v>36884.50420000001</v>
      </c>
      <c r="L29" s="127"/>
      <c r="N29" s="2"/>
    </row>
    <row r="30" spans="1:12" ht="22.5" thickBot="1">
      <c r="A30" s="33"/>
      <c r="B30" s="4"/>
      <c r="C30" s="158" t="s">
        <v>23</v>
      </c>
      <c r="D30" s="13" t="s">
        <v>1</v>
      </c>
      <c r="E30" s="159">
        <v>400</v>
      </c>
      <c r="F30" s="160">
        <v>22</v>
      </c>
      <c r="G30" s="161">
        <f t="shared" si="0"/>
        <v>17.6</v>
      </c>
      <c r="H30" s="160">
        <f t="shared" si="1"/>
        <v>1.2320000000000002</v>
      </c>
      <c r="I30" s="162">
        <f t="shared" si="2"/>
        <v>8781.168</v>
      </c>
      <c r="J30" s="39"/>
      <c r="K30" s="40">
        <f t="shared" si="3"/>
        <v>45665.67220000001</v>
      </c>
      <c r="L30" s="163">
        <f>I7+I30</f>
        <v>764.0479999999998</v>
      </c>
    </row>
    <row r="31" spans="1:12" ht="22.5" thickBot="1">
      <c r="A31" s="55" t="s">
        <v>42</v>
      </c>
      <c r="B31" s="5"/>
      <c r="C31" s="96" t="s">
        <v>27</v>
      </c>
      <c r="D31" s="27" t="s">
        <v>1</v>
      </c>
      <c r="E31" s="97">
        <v>500</v>
      </c>
      <c r="F31" s="98">
        <v>34</v>
      </c>
      <c r="G31" s="98">
        <f t="shared" si="0"/>
        <v>34</v>
      </c>
      <c r="H31" s="98">
        <f t="shared" si="1"/>
        <v>2.3800000000000003</v>
      </c>
      <c r="I31" s="100">
        <f t="shared" si="2"/>
        <v>16963.62</v>
      </c>
      <c r="J31" s="56">
        <f>I31</f>
        <v>16963.62</v>
      </c>
      <c r="K31" s="57">
        <f t="shared" si="3"/>
        <v>62629.29220000001</v>
      </c>
      <c r="L31" s="58"/>
    </row>
    <row r="32" spans="1:12" ht="21.75">
      <c r="A32" s="31" t="s">
        <v>43</v>
      </c>
      <c r="B32" s="3"/>
      <c r="C32" s="83" t="s">
        <v>44</v>
      </c>
      <c r="D32" s="84" t="s">
        <v>0</v>
      </c>
      <c r="E32" s="85">
        <v>500</v>
      </c>
      <c r="F32" s="86">
        <v>26.5</v>
      </c>
      <c r="G32" s="86">
        <f t="shared" si="0"/>
        <v>26.5</v>
      </c>
      <c r="H32" s="86">
        <f t="shared" si="1"/>
        <v>1.8550000000000002</v>
      </c>
      <c r="I32" s="88">
        <f t="shared" si="2"/>
        <v>-13278.355</v>
      </c>
      <c r="J32" s="76">
        <f>SUM(I32:I34)</f>
        <v>-35200.1675</v>
      </c>
      <c r="K32" s="37">
        <f t="shared" si="3"/>
        <v>49350.937200000015</v>
      </c>
      <c r="L32" s="127"/>
    </row>
    <row r="33" spans="1:12" ht="21.75">
      <c r="A33" s="32"/>
      <c r="B33" s="1"/>
      <c r="C33" s="164" t="s">
        <v>44</v>
      </c>
      <c r="D33" s="165" t="s">
        <v>0</v>
      </c>
      <c r="E33" s="166">
        <v>500</v>
      </c>
      <c r="F33" s="167">
        <v>25.75</v>
      </c>
      <c r="G33" s="169">
        <f t="shared" si="0"/>
        <v>25.75</v>
      </c>
      <c r="H33" s="167">
        <f t="shared" si="1"/>
        <v>1.8025000000000002</v>
      </c>
      <c r="I33" s="168">
        <f t="shared" si="2"/>
        <v>-12902.5525</v>
      </c>
      <c r="J33" s="34"/>
      <c r="K33" s="35">
        <f t="shared" si="3"/>
        <v>36448.38470000002</v>
      </c>
      <c r="L33" s="78"/>
    </row>
    <row r="34" spans="1:12" ht="22.5" thickBot="1">
      <c r="A34" s="33"/>
      <c r="B34" s="4"/>
      <c r="C34" s="29" t="s">
        <v>31</v>
      </c>
      <c r="D34" s="9" t="s">
        <v>0</v>
      </c>
      <c r="E34" s="170">
        <v>1000</v>
      </c>
      <c r="F34" s="171">
        <v>9</v>
      </c>
      <c r="G34" s="171">
        <f t="shared" si="0"/>
        <v>18</v>
      </c>
      <c r="H34" s="171">
        <f t="shared" si="1"/>
        <v>1.2600000000000002</v>
      </c>
      <c r="I34" s="172">
        <f t="shared" si="2"/>
        <v>-9019.26</v>
      </c>
      <c r="J34" s="39"/>
      <c r="K34" s="40">
        <f t="shared" si="3"/>
        <v>27429.124700000015</v>
      </c>
      <c r="L34" s="41"/>
    </row>
    <row r="35" spans="1:12" ht="22.5" thickBot="1">
      <c r="A35" s="55" t="s">
        <v>45</v>
      </c>
      <c r="B35" s="5"/>
      <c r="C35" s="173" t="s">
        <v>44</v>
      </c>
      <c r="D35" s="174" t="s">
        <v>1</v>
      </c>
      <c r="E35" s="175">
        <v>100</v>
      </c>
      <c r="F35" s="176">
        <v>26</v>
      </c>
      <c r="G35" s="176">
        <f t="shared" si="0"/>
        <v>5.2</v>
      </c>
      <c r="H35" s="176">
        <f t="shared" si="1"/>
        <v>0.36400000000000005</v>
      </c>
      <c r="I35" s="177">
        <f t="shared" si="2"/>
        <v>2594.436</v>
      </c>
      <c r="J35" s="56">
        <f>I35</f>
        <v>2594.436</v>
      </c>
      <c r="K35" s="57">
        <f t="shared" si="3"/>
        <v>30023.560700000016</v>
      </c>
      <c r="L35" s="58"/>
    </row>
    <row r="36" spans="1:12" ht="21.75">
      <c r="A36" s="31" t="s">
        <v>46</v>
      </c>
      <c r="B36" s="3"/>
      <c r="C36" s="83" t="s">
        <v>44</v>
      </c>
      <c r="D36" s="84" t="s">
        <v>1</v>
      </c>
      <c r="E36" s="85">
        <v>600</v>
      </c>
      <c r="F36" s="86">
        <v>25.5</v>
      </c>
      <c r="G36" s="87">
        <f t="shared" si="0"/>
        <v>30.6</v>
      </c>
      <c r="H36" s="86">
        <f t="shared" si="1"/>
        <v>2.1420000000000003</v>
      </c>
      <c r="I36" s="88">
        <f t="shared" si="2"/>
        <v>15267.258</v>
      </c>
      <c r="J36" s="76">
        <f>SUM(I36:I38)</f>
        <v>23175.2985</v>
      </c>
      <c r="K36" s="37">
        <f t="shared" si="3"/>
        <v>45290.81870000002</v>
      </c>
      <c r="L36" s="127"/>
    </row>
    <row r="37" spans="1:12" ht="21.75">
      <c r="A37" s="32"/>
      <c r="B37" s="1"/>
      <c r="C37" s="164" t="s">
        <v>44</v>
      </c>
      <c r="D37" s="165" t="s">
        <v>1</v>
      </c>
      <c r="E37" s="166">
        <v>200</v>
      </c>
      <c r="F37" s="167">
        <v>26.25</v>
      </c>
      <c r="G37" s="167">
        <f t="shared" si="0"/>
        <v>10.5</v>
      </c>
      <c r="H37" s="167">
        <f t="shared" si="1"/>
        <v>0.7350000000000001</v>
      </c>
      <c r="I37" s="168">
        <f t="shared" si="2"/>
        <v>5238.765</v>
      </c>
      <c r="J37" s="34"/>
      <c r="K37" s="35">
        <f t="shared" si="3"/>
        <v>50529.58370000002</v>
      </c>
      <c r="L37" s="78"/>
    </row>
    <row r="38" spans="1:12" ht="22.5" thickBot="1">
      <c r="A38" s="33"/>
      <c r="B38" s="4"/>
      <c r="C38" s="48" t="s">
        <v>44</v>
      </c>
      <c r="D38" s="49" t="s">
        <v>1</v>
      </c>
      <c r="E38" s="50">
        <v>100</v>
      </c>
      <c r="F38" s="52">
        <v>26.75</v>
      </c>
      <c r="G38" s="52">
        <f t="shared" si="0"/>
        <v>5.3500000000000005</v>
      </c>
      <c r="H38" s="52">
        <f t="shared" si="1"/>
        <v>0.37450000000000006</v>
      </c>
      <c r="I38" s="53">
        <f t="shared" si="2"/>
        <v>2669.2755</v>
      </c>
      <c r="J38" s="39"/>
      <c r="K38" s="40">
        <f t="shared" si="3"/>
        <v>53198.85920000002</v>
      </c>
      <c r="L38" s="178">
        <f>SUM(I32:I33)+SUM(I35:I38)</f>
        <v>-411.1730000000025</v>
      </c>
    </row>
    <row r="39" spans="1:12" ht="21.75">
      <c r="A39" s="31" t="s">
        <v>47</v>
      </c>
      <c r="B39" s="3"/>
      <c r="C39" s="111" t="s">
        <v>48</v>
      </c>
      <c r="D39" s="112" t="s">
        <v>0</v>
      </c>
      <c r="E39" s="113">
        <v>500</v>
      </c>
      <c r="F39" s="114">
        <v>39</v>
      </c>
      <c r="G39" s="115">
        <f t="shared" si="0"/>
        <v>39</v>
      </c>
      <c r="H39" s="114">
        <f t="shared" si="1"/>
        <v>2.7300000000000004</v>
      </c>
      <c r="I39" s="116">
        <f t="shared" si="2"/>
        <v>-19541.73</v>
      </c>
      <c r="J39" s="76">
        <f>SUM(I39:I41)</f>
        <v>-1280.8919999999998</v>
      </c>
      <c r="K39" s="37">
        <f t="shared" si="3"/>
        <v>33657.129200000025</v>
      </c>
      <c r="L39" s="127"/>
    </row>
    <row r="40" spans="1:12" ht="21.75">
      <c r="A40" s="32"/>
      <c r="B40" s="1"/>
      <c r="C40" s="179" t="s">
        <v>27</v>
      </c>
      <c r="D40" s="180" t="s">
        <v>1</v>
      </c>
      <c r="E40" s="181">
        <v>300</v>
      </c>
      <c r="F40" s="182">
        <v>30</v>
      </c>
      <c r="G40" s="182">
        <f t="shared" si="0"/>
        <v>18</v>
      </c>
      <c r="H40" s="182">
        <f t="shared" si="1"/>
        <v>1.2600000000000002</v>
      </c>
      <c r="I40" s="183">
        <f t="shared" si="2"/>
        <v>8980.74</v>
      </c>
      <c r="J40" s="34"/>
      <c r="K40" s="35">
        <f t="shared" si="3"/>
        <v>42637.86920000002</v>
      </c>
      <c r="L40" s="78"/>
    </row>
    <row r="41" spans="1:12" ht="21.75">
      <c r="A41" s="32"/>
      <c r="B41" s="1"/>
      <c r="C41" s="179" t="s">
        <v>27</v>
      </c>
      <c r="D41" s="180" t="s">
        <v>1</v>
      </c>
      <c r="E41" s="181">
        <v>300</v>
      </c>
      <c r="F41" s="182">
        <v>31</v>
      </c>
      <c r="G41" s="182">
        <f t="shared" si="0"/>
        <v>18.6</v>
      </c>
      <c r="H41" s="182">
        <f t="shared" si="1"/>
        <v>1.3020000000000003</v>
      </c>
      <c r="I41" s="183">
        <f t="shared" si="2"/>
        <v>9280.098</v>
      </c>
      <c r="J41" s="34"/>
      <c r="K41" s="35">
        <f t="shared" si="3"/>
        <v>51917.96720000002</v>
      </c>
      <c r="L41" s="78"/>
    </row>
    <row r="42" spans="1:12" ht="21.75">
      <c r="A42" s="32"/>
      <c r="B42" s="1"/>
      <c r="C42" s="184" t="s">
        <v>27</v>
      </c>
      <c r="D42" s="185" t="s">
        <v>0</v>
      </c>
      <c r="E42" s="186">
        <v>300</v>
      </c>
      <c r="F42" s="187">
        <v>30</v>
      </c>
      <c r="G42" s="189">
        <f t="shared" si="0"/>
        <v>18</v>
      </c>
      <c r="H42" s="187">
        <f t="shared" si="1"/>
        <v>1.2600000000000002</v>
      </c>
      <c r="I42" s="188">
        <f t="shared" si="2"/>
        <v>-9019.26</v>
      </c>
      <c r="J42" s="34"/>
      <c r="K42" s="35"/>
      <c r="L42" s="78"/>
    </row>
    <row r="43" spans="1:12" ht="22.5" thickBot="1">
      <c r="A43" s="33"/>
      <c r="B43" s="4"/>
      <c r="C43" s="190" t="s">
        <v>27</v>
      </c>
      <c r="D43" s="191" t="s">
        <v>0</v>
      </c>
      <c r="E43" s="192">
        <v>300</v>
      </c>
      <c r="F43" s="193">
        <v>31</v>
      </c>
      <c r="G43" s="193">
        <f t="shared" si="0"/>
        <v>18.6</v>
      </c>
      <c r="H43" s="193">
        <f t="shared" si="1"/>
        <v>1.3020000000000003</v>
      </c>
      <c r="I43" s="194">
        <f t="shared" si="2"/>
        <v>-9319.902</v>
      </c>
      <c r="J43" s="39"/>
      <c r="K43" s="40"/>
      <c r="L43" s="41"/>
    </row>
    <row r="44" spans="1:12" ht="22.5" thickBot="1">
      <c r="A44" s="55" t="s">
        <v>49</v>
      </c>
      <c r="B44" s="5"/>
      <c r="C44" s="195" t="s">
        <v>48</v>
      </c>
      <c r="D44" s="196" t="s">
        <v>1</v>
      </c>
      <c r="E44" s="197">
        <v>300</v>
      </c>
      <c r="F44" s="198">
        <v>40</v>
      </c>
      <c r="G44" s="198">
        <f t="shared" si="0"/>
        <v>24</v>
      </c>
      <c r="H44" s="198">
        <f t="shared" si="1"/>
        <v>1.6800000000000002</v>
      </c>
      <c r="I44" s="199">
        <f t="shared" si="2"/>
        <v>11974.32</v>
      </c>
      <c r="J44" s="56">
        <f>I44</f>
        <v>11974.32</v>
      </c>
      <c r="K44" s="57">
        <f>K41+I44</f>
        <v>63892.28720000002</v>
      </c>
      <c r="L44" s="58"/>
    </row>
    <row r="45" spans="1:12" ht="21.75">
      <c r="A45" s="31" t="s">
        <v>50</v>
      </c>
      <c r="B45" s="3"/>
      <c r="C45" s="111" t="s">
        <v>48</v>
      </c>
      <c r="D45" s="112" t="s">
        <v>1</v>
      </c>
      <c r="E45" s="113">
        <v>200</v>
      </c>
      <c r="F45" s="114">
        <v>41.5</v>
      </c>
      <c r="G45" s="115">
        <f t="shared" si="0"/>
        <v>16.6</v>
      </c>
      <c r="H45" s="114">
        <f t="shared" si="1"/>
        <v>1.1620000000000001</v>
      </c>
      <c r="I45" s="116">
        <f t="shared" si="2"/>
        <v>8282.238</v>
      </c>
      <c r="J45" s="76">
        <f>SUM(I45:I48)</f>
        <v>-11227.040000000003</v>
      </c>
      <c r="K45" s="37">
        <f t="shared" si="3"/>
        <v>72174.52520000002</v>
      </c>
      <c r="L45" s="117">
        <f>I39+I44+I45</f>
        <v>714.8279999999995</v>
      </c>
    </row>
    <row r="46" spans="1:12" ht="21.75">
      <c r="A46" s="32"/>
      <c r="B46" s="1"/>
      <c r="C46" s="200" t="s">
        <v>31</v>
      </c>
      <c r="D46" s="10" t="s">
        <v>1</v>
      </c>
      <c r="E46" s="201">
        <v>500</v>
      </c>
      <c r="F46" s="202">
        <v>8.25</v>
      </c>
      <c r="G46" s="202">
        <f t="shared" si="0"/>
        <v>8.25</v>
      </c>
      <c r="H46" s="202">
        <f t="shared" si="1"/>
        <v>0.5775</v>
      </c>
      <c r="I46" s="203">
        <f t="shared" si="2"/>
        <v>4116.1725</v>
      </c>
      <c r="J46" s="34"/>
      <c r="K46" s="35">
        <f t="shared" si="3"/>
        <v>76290.69770000002</v>
      </c>
      <c r="L46" s="78"/>
    </row>
    <row r="47" spans="1:12" ht="21.75">
      <c r="A47" s="32"/>
      <c r="B47" s="1"/>
      <c r="C47" s="204" t="s">
        <v>51</v>
      </c>
      <c r="D47" s="14" t="s">
        <v>0</v>
      </c>
      <c r="E47" s="205">
        <v>300</v>
      </c>
      <c r="F47" s="206">
        <v>31.5</v>
      </c>
      <c r="G47" s="206">
        <f t="shared" si="0"/>
        <v>18.900000000000002</v>
      </c>
      <c r="H47" s="206">
        <f t="shared" si="1"/>
        <v>1.3230000000000002</v>
      </c>
      <c r="I47" s="207">
        <f t="shared" si="2"/>
        <v>-9470.223</v>
      </c>
      <c r="J47" s="34"/>
      <c r="K47" s="35">
        <f t="shared" si="3"/>
        <v>66820.47470000002</v>
      </c>
      <c r="L47" s="78"/>
    </row>
    <row r="48" spans="1:12" ht="22.5" thickBot="1">
      <c r="A48" s="33"/>
      <c r="B48" s="4"/>
      <c r="C48" s="208" t="s">
        <v>52</v>
      </c>
      <c r="D48" s="19" t="s">
        <v>0</v>
      </c>
      <c r="E48" s="209">
        <v>500</v>
      </c>
      <c r="F48" s="210">
        <v>28.25</v>
      </c>
      <c r="G48" s="211">
        <f t="shared" si="0"/>
        <v>28.25</v>
      </c>
      <c r="H48" s="210">
        <f t="shared" si="1"/>
        <v>1.9775000000000003</v>
      </c>
      <c r="I48" s="212">
        <f t="shared" si="2"/>
        <v>-14155.2275</v>
      </c>
      <c r="J48" s="39"/>
      <c r="K48" s="40">
        <f t="shared" si="3"/>
        <v>52665.24720000002</v>
      </c>
      <c r="L48" s="41"/>
    </row>
    <row r="49" spans="1:12" ht="21.75">
      <c r="A49" s="31" t="s">
        <v>53</v>
      </c>
      <c r="B49" s="3"/>
      <c r="C49" s="213" t="s">
        <v>51</v>
      </c>
      <c r="D49" s="214" t="s">
        <v>1</v>
      </c>
      <c r="E49" s="215">
        <v>300</v>
      </c>
      <c r="F49" s="216">
        <v>32.25</v>
      </c>
      <c r="G49" s="216">
        <f t="shared" si="0"/>
        <v>19.35</v>
      </c>
      <c r="H49" s="216">
        <f t="shared" si="1"/>
        <v>1.3545000000000003</v>
      </c>
      <c r="I49" s="217">
        <f t="shared" si="2"/>
        <v>9654.2955</v>
      </c>
      <c r="J49" s="76">
        <f>SUM(I49:I50)</f>
        <v>19632.8955</v>
      </c>
      <c r="K49" s="37">
        <f t="shared" si="3"/>
        <v>62319.54270000002</v>
      </c>
      <c r="L49" s="222">
        <f>I47+I49</f>
        <v>184.07250000000022</v>
      </c>
    </row>
    <row r="50" spans="1:12" ht="22.5" thickBot="1">
      <c r="A50" s="33"/>
      <c r="B50" s="4"/>
      <c r="C50" s="218" t="s">
        <v>21</v>
      </c>
      <c r="D50" s="15" t="s">
        <v>1</v>
      </c>
      <c r="E50" s="219">
        <v>500</v>
      </c>
      <c r="F50" s="220">
        <v>20</v>
      </c>
      <c r="G50" s="220">
        <f t="shared" si="0"/>
        <v>20</v>
      </c>
      <c r="H50" s="220">
        <f t="shared" si="1"/>
        <v>1.4000000000000001</v>
      </c>
      <c r="I50" s="221">
        <f t="shared" si="2"/>
        <v>9978.6</v>
      </c>
      <c r="J50" s="39"/>
      <c r="K50" s="40">
        <f t="shared" si="3"/>
        <v>72298.14270000003</v>
      </c>
      <c r="L50" s="41"/>
    </row>
    <row r="51" spans="1:12" ht="21.75">
      <c r="A51" s="31" t="s">
        <v>54</v>
      </c>
      <c r="B51" s="3"/>
      <c r="C51" s="223" t="s">
        <v>27</v>
      </c>
      <c r="D51" s="224" t="s">
        <v>1</v>
      </c>
      <c r="E51" s="225">
        <v>500</v>
      </c>
      <c r="F51" s="226">
        <v>31.5</v>
      </c>
      <c r="G51" s="227">
        <f t="shared" si="0"/>
        <v>31.5</v>
      </c>
      <c r="H51" s="226">
        <f t="shared" si="1"/>
        <v>2.205</v>
      </c>
      <c r="I51" s="228">
        <f t="shared" si="2"/>
        <v>15716.295</v>
      </c>
      <c r="J51" s="76">
        <f>I52</f>
        <v>-15783.705</v>
      </c>
      <c r="K51" s="37"/>
      <c r="L51" s="127"/>
    </row>
    <row r="52" spans="1:12" ht="22.5" thickBot="1">
      <c r="A52" s="33"/>
      <c r="B52" s="4"/>
      <c r="C52" s="26" t="s">
        <v>27</v>
      </c>
      <c r="D52" s="17" t="s">
        <v>0</v>
      </c>
      <c r="E52" s="128">
        <v>500</v>
      </c>
      <c r="F52" s="129">
        <v>31.5</v>
      </c>
      <c r="G52" s="129">
        <f t="shared" si="0"/>
        <v>31.5</v>
      </c>
      <c r="H52" s="129">
        <f t="shared" si="1"/>
        <v>2.205</v>
      </c>
      <c r="I52" s="131">
        <f t="shared" si="2"/>
        <v>-15783.705</v>
      </c>
      <c r="J52" s="39"/>
      <c r="K52" s="40">
        <f>K50+I52</f>
        <v>56514.437700000024</v>
      </c>
      <c r="L52" s="41"/>
    </row>
    <row r="53" spans="1:12" ht="21.75">
      <c r="A53" s="31" t="s">
        <v>55</v>
      </c>
      <c r="B53" s="3"/>
      <c r="C53" s="223" t="s">
        <v>27</v>
      </c>
      <c r="D53" s="224" t="s">
        <v>1</v>
      </c>
      <c r="E53" s="225">
        <v>100</v>
      </c>
      <c r="F53" s="226">
        <v>31.25</v>
      </c>
      <c r="G53" s="226">
        <f t="shared" si="0"/>
        <v>6.25</v>
      </c>
      <c r="H53" s="226">
        <f t="shared" si="1"/>
        <v>0.43750000000000006</v>
      </c>
      <c r="I53" s="228">
        <f t="shared" si="2"/>
        <v>3118.3125</v>
      </c>
      <c r="J53" s="76">
        <f>I54</f>
        <v>-3131.6875</v>
      </c>
      <c r="K53" s="37"/>
      <c r="L53" s="127"/>
    </row>
    <row r="54" spans="1:12" ht="22.5" thickBot="1">
      <c r="A54" s="33"/>
      <c r="B54" s="4"/>
      <c r="C54" s="26" t="s">
        <v>27</v>
      </c>
      <c r="D54" s="17" t="s">
        <v>0</v>
      </c>
      <c r="E54" s="128">
        <v>100</v>
      </c>
      <c r="F54" s="129">
        <v>31.25</v>
      </c>
      <c r="G54" s="130">
        <f t="shared" si="0"/>
        <v>6.25</v>
      </c>
      <c r="H54" s="129">
        <f t="shared" si="1"/>
        <v>0.43750000000000006</v>
      </c>
      <c r="I54" s="131">
        <f t="shared" si="2"/>
        <v>-3131.6875</v>
      </c>
      <c r="J54" s="39"/>
      <c r="K54" s="40">
        <f>K52+I54</f>
        <v>53382.750200000024</v>
      </c>
      <c r="L54" s="41"/>
    </row>
    <row r="55" spans="1:12" ht="21.75">
      <c r="A55" s="31" t="s">
        <v>56</v>
      </c>
      <c r="B55" s="3"/>
      <c r="C55" s="123" t="s">
        <v>27</v>
      </c>
      <c r="D55" s="11" t="s">
        <v>0</v>
      </c>
      <c r="E55" s="124">
        <v>500</v>
      </c>
      <c r="F55" s="125">
        <v>32</v>
      </c>
      <c r="G55" s="125">
        <f t="shared" si="0"/>
        <v>32</v>
      </c>
      <c r="H55" s="125">
        <f t="shared" si="1"/>
        <v>2.24</v>
      </c>
      <c r="I55" s="126">
        <f t="shared" si="2"/>
        <v>-16034.24</v>
      </c>
      <c r="J55" s="76">
        <f>SUM(I55:I57)</f>
        <v>-25125.190000000002</v>
      </c>
      <c r="K55" s="37">
        <f t="shared" si="3"/>
        <v>37348.510200000026</v>
      </c>
      <c r="L55" s="127"/>
    </row>
    <row r="56" spans="1:14" ht="21.75">
      <c r="A56" s="32"/>
      <c r="B56" s="1"/>
      <c r="C56" s="28" t="s">
        <v>27</v>
      </c>
      <c r="D56" s="7" t="s">
        <v>1</v>
      </c>
      <c r="E56" s="229">
        <v>500</v>
      </c>
      <c r="F56" s="230">
        <v>33.5</v>
      </c>
      <c r="G56" s="230">
        <f t="shared" si="0"/>
        <v>33.5</v>
      </c>
      <c r="H56" s="230">
        <f t="shared" si="1"/>
        <v>2.345</v>
      </c>
      <c r="I56" s="231">
        <f t="shared" si="2"/>
        <v>16714.155</v>
      </c>
      <c r="J56" s="34"/>
      <c r="K56" s="35">
        <f t="shared" si="3"/>
        <v>54062.665200000025</v>
      </c>
      <c r="L56" s="78"/>
      <c r="N56" s="2"/>
    </row>
    <row r="57" spans="1:14" ht="22.5" thickBot="1">
      <c r="A57" s="33"/>
      <c r="B57" s="4"/>
      <c r="C57" s="232" t="s">
        <v>57</v>
      </c>
      <c r="D57" s="233" t="s">
        <v>0</v>
      </c>
      <c r="E57" s="234">
        <v>1000</v>
      </c>
      <c r="F57" s="235">
        <v>25.75</v>
      </c>
      <c r="G57" s="236">
        <f t="shared" si="0"/>
        <v>51.5</v>
      </c>
      <c r="H57" s="235">
        <f t="shared" si="1"/>
        <v>3.6050000000000004</v>
      </c>
      <c r="I57" s="237">
        <f t="shared" si="2"/>
        <v>-25805.105</v>
      </c>
      <c r="J57" s="39"/>
      <c r="K57" s="243">
        <f>K56+I57+N57</f>
        <v>28385.880200000025</v>
      </c>
      <c r="L57" s="41"/>
      <c r="M57" s="94" t="s">
        <v>61</v>
      </c>
      <c r="N57" s="20">
        <v>128.32</v>
      </c>
    </row>
    <row r="58" spans="1:12" ht="22.5" thickBot="1">
      <c r="A58" s="55" t="s">
        <v>58</v>
      </c>
      <c r="B58" s="5"/>
      <c r="C58" s="238" t="s">
        <v>3</v>
      </c>
      <c r="D58" s="23" t="s">
        <v>1</v>
      </c>
      <c r="E58" s="239">
        <v>1000</v>
      </c>
      <c r="F58" s="240">
        <v>14.5</v>
      </c>
      <c r="G58" s="240">
        <f t="shared" si="0"/>
        <v>29</v>
      </c>
      <c r="H58" s="240">
        <f t="shared" si="1"/>
        <v>2.0300000000000002</v>
      </c>
      <c r="I58" s="241">
        <f t="shared" si="2"/>
        <v>14468.97</v>
      </c>
      <c r="J58" s="56">
        <f>I58</f>
        <v>14468.97</v>
      </c>
      <c r="K58" s="57">
        <f t="shared" si="3"/>
        <v>42854.85020000002</v>
      </c>
      <c r="L58" s="242">
        <f>SUM(I10:I11)-46444.25+I58+3000</f>
        <v>-835.6279999999988</v>
      </c>
    </row>
    <row r="59" spans="1:12" ht="21.75">
      <c r="A59" s="31" t="s">
        <v>59</v>
      </c>
      <c r="B59" s="3"/>
      <c r="C59" s="123" t="s">
        <v>27</v>
      </c>
      <c r="D59" s="11" t="s">
        <v>1</v>
      </c>
      <c r="E59" s="124">
        <v>100</v>
      </c>
      <c r="F59" s="125">
        <v>40</v>
      </c>
      <c r="G59" s="125">
        <f t="shared" si="0"/>
        <v>8</v>
      </c>
      <c r="H59" s="125">
        <f t="shared" si="1"/>
        <v>0.56</v>
      </c>
      <c r="I59" s="126">
        <f t="shared" si="2"/>
        <v>3991.44</v>
      </c>
      <c r="J59" s="76">
        <f>SUM(I59:I60)</f>
        <v>183.308</v>
      </c>
      <c r="K59" s="37">
        <f t="shared" si="3"/>
        <v>46846.290200000025</v>
      </c>
      <c r="L59" s="127"/>
    </row>
    <row r="60" spans="1:12" ht="22.5" thickBot="1">
      <c r="A60" s="33"/>
      <c r="B60" s="4"/>
      <c r="C60" s="26" t="s">
        <v>27</v>
      </c>
      <c r="D60" s="17" t="s">
        <v>0</v>
      </c>
      <c r="E60" s="128">
        <v>100</v>
      </c>
      <c r="F60" s="129">
        <v>38</v>
      </c>
      <c r="G60" s="130">
        <f t="shared" si="0"/>
        <v>7.6000000000000005</v>
      </c>
      <c r="H60" s="129">
        <f t="shared" si="1"/>
        <v>0.5320000000000001</v>
      </c>
      <c r="I60" s="131">
        <f t="shared" si="2"/>
        <v>-3808.132</v>
      </c>
      <c r="J60" s="39"/>
      <c r="K60" s="40">
        <f t="shared" si="3"/>
        <v>43038.15820000003</v>
      </c>
      <c r="L60" s="41"/>
    </row>
    <row r="61" spans="1:12" ht="21.75">
      <c r="A61" s="31" t="s">
        <v>60</v>
      </c>
      <c r="B61" s="3"/>
      <c r="C61" s="123" t="s">
        <v>27</v>
      </c>
      <c r="D61" s="11" t="s">
        <v>1</v>
      </c>
      <c r="E61" s="124">
        <v>300</v>
      </c>
      <c r="F61" s="125">
        <v>40</v>
      </c>
      <c r="G61" s="125">
        <f t="shared" si="0"/>
        <v>24</v>
      </c>
      <c r="H61" s="125">
        <f t="shared" si="1"/>
        <v>1.6800000000000002</v>
      </c>
      <c r="I61" s="126">
        <f t="shared" si="2"/>
        <v>11974.32</v>
      </c>
      <c r="J61" s="76">
        <f>SUM(I61:I62)</f>
        <v>-13830.785</v>
      </c>
      <c r="K61" s="37">
        <f t="shared" si="3"/>
        <v>55012.47820000003</v>
      </c>
      <c r="L61" s="127"/>
    </row>
    <row r="62" spans="1:12" ht="22.5" thickBot="1">
      <c r="A62" s="33"/>
      <c r="B62" s="4"/>
      <c r="C62" s="232" t="s">
        <v>57</v>
      </c>
      <c r="D62" s="233" t="s">
        <v>0</v>
      </c>
      <c r="E62" s="234">
        <v>1000</v>
      </c>
      <c r="F62" s="235">
        <v>25.75</v>
      </c>
      <c r="G62" s="235">
        <f t="shared" si="0"/>
        <v>51.5</v>
      </c>
      <c r="H62" s="235">
        <f t="shared" si="1"/>
        <v>3.6050000000000004</v>
      </c>
      <c r="I62" s="237">
        <f t="shared" si="2"/>
        <v>-25805.105</v>
      </c>
      <c r="J62" s="39"/>
      <c r="K62" s="40">
        <f t="shared" si="3"/>
        <v>29207.373200000027</v>
      </c>
      <c r="L62" s="41"/>
    </row>
    <row r="63" spans="1:12" ht="22.5" thickBot="1">
      <c r="A63" s="55" t="s">
        <v>62</v>
      </c>
      <c r="B63" s="5"/>
      <c r="C63" s="147" t="s">
        <v>52</v>
      </c>
      <c r="D63" s="30" t="s">
        <v>1</v>
      </c>
      <c r="E63" s="148">
        <v>500</v>
      </c>
      <c r="F63" s="149">
        <v>29.75</v>
      </c>
      <c r="G63" s="244">
        <f t="shared" si="0"/>
        <v>29.75</v>
      </c>
      <c r="H63" s="149">
        <f t="shared" si="1"/>
        <v>2.0825</v>
      </c>
      <c r="I63" s="150">
        <f t="shared" si="2"/>
        <v>14843.1675</v>
      </c>
      <c r="J63" s="56">
        <f>I63</f>
        <v>14843.1675</v>
      </c>
      <c r="K63" s="57">
        <f t="shared" si="3"/>
        <v>44050.54070000003</v>
      </c>
      <c r="L63" s="245">
        <f>I48+I63</f>
        <v>687.9399999999987</v>
      </c>
    </row>
    <row r="64" spans="1:14" ht="22.5" thickBot="1">
      <c r="A64" s="55" t="s">
        <v>63</v>
      </c>
      <c r="B64" s="5"/>
      <c r="C64" s="246" t="s">
        <v>64</v>
      </c>
      <c r="D64" s="24" t="s">
        <v>0</v>
      </c>
      <c r="E64" s="247">
        <v>400</v>
      </c>
      <c r="F64" s="248">
        <v>44.5</v>
      </c>
      <c r="G64" s="248">
        <f t="shared" si="0"/>
        <v>35.6</v>
      </c>
      <c r="H64" s="248">
        <f t="shared" si="1"/>
        <v>2.4920000000000004</v>
      </c>
      <c r="I64" s="249">
        <f t="shared" si="2"/>
        <v>-17838.091999999997</v>
      </c>
      <c r="J64" s="56">
        <f>I64</f>
        <v>-17838.091999999997</v>
      </c>
      <c r="K64" s="250">
        <f>K63+I64+N64</f>
        <v>51212.44870000003</v>
      </c>
      <c r="L64" s="58"/>
      <c r="M64" s="94" t="s">
        <v>25</v>
      </c>
      <c r="N64" s="95">
        <v>25000</v>
      </c>
    </row>
    <row r="65" spans="1:12" ht="22.5" thickBot="1">
      <c r="A65" s="55" t="s">
        <v>65</v>
      </c>
      <c r="B65" s="5"/>
      <c r="C65" s="251" t="s">
        <v>52</v>
      </c>
      <c r="D65" s="252" t="s">
        <v>0</v>
      </c>
      <c r="E65" s="253">
        <v>500</v>
      </c>
      <c r="F65" s="254">
        <v>27.25</v>
      </c>
      <c r="G65" s="254">
        <f t="shared" si="0"/>
        <v>27.25</v>
      </c>
      <c r="H65" s="254">
        <f t="shared" si="1"/>
        <v>1.9075000000000002</v>
      </c>
      <c r="I65" s="255">
        <f t="shared" si="2"/>
        <v>-13654.1575</v>
      </c>
      <c r="J65" s="56">
        <f>I65</f>
        <v>-13654.1575</v>
      </c>
      <c r="K65" s="57">
        <f t="shared" si="3"/>
        <v>37558.29120000003</v>
      </c>
      <c r="L65" s="58"/>
    </row>
    <row r="66" spans="1:12" ht="21.75">
      <c r="A66" s="31" t="s">
        <v>66</v>
      </c>
      <c r="B66" s="3"/>
      <c r="C66" s="70" t="s">
        <v>64</v>
      </c>
      <c r="D66" s="71" t="s">
        <v>1</v>
      </c>
      <c r="E66" s="72">
        <v>200</v>
      </c>
      <c r="F66" s="73">
        <v>43.5</v>
      </c>
      <c r="G66" s="74">
        <f t="shared" si="0"/>
        <v>17.400000000000002</v>
      </c>
      <c r="H66" s="73">
        <f t="shared" si="1"/>
        <v>1.2180000000000002</v>
      </c>
      <c r="I66" s="75">
        <f t="shared" si="2"/>
        <v>8681.382</v>
      </c>
      <c r="J66" s="76">
        <f>SUM(I66:I67)</f>
        <v>17213.085</v>
      </c>
      <c r="K66" s="37">
        <f t="shared" si="3"/>
        <v>46239.67320000003</v>
      </c>
      <c r="L66" s="127"/>
    </row>
    <row r="67" spans="1:12" ht="22.5" thickBot="1">
      <c r="A67" s="33"/>
      <c r="B67" s="4"/>
      <c r="C67" s="256" t="s">
        <v>64</v>
      </c>
      <c r="D67" s="257" t="s">
        <v>1</v>
      </c>
      <c r="E67" s="258">
        <v>200</v>
      </c>
      <c r="F67" s="259">
        <v>42.75</v>
      </c>
      <c r="G67" s="259">
        <f aca="true" t="shared" si="4" ref="G67:G113">จำนวน*ราคา*0.002</f>
        <v>17.1</v>
      </c>
      <c r="H67" s="259">
        <f aca="true" t="shared" si="5" ref="H67:H113">คอม*0.07</f>
        <v>1.1970000000000003</v>
      </c>
      <c r="I67" s="260">
        <f aca="true" t="shared" si="6" ref="I67:I113">IF(ซื้อขาย="b",((จำนวน*ราคา)+คอม+ภาษี)*(-1),IF(ซื้อขาย="s",(จำนวน*ราคา)-คอม-ภาษี,))</f>
        <v>8531.703</v>
      </c>
      <c r="J67" s="39"/>
      <c r="K67" s="40">
        <f t="shared" si="3"/>
        <v>54771.37620000003</v>
      </c>
      <c r="L67" s="261">
        <f>I64+I66+I67</f>
        <v>-625.0069999999978</v>
      </c>
    </row>
    <row r="68" spans="1:14" ht="21.75">
      <c r="A68" s="31" t="s">
        <v>67</v>
      </c>
      <c r="B68" s="3"/>
      <c r="C68" s="123" t="s">
        <v>27</v>
      </c>
      <c r="D68" s="11" t="s">
        <v>0</v>
      </c>
      <c r="E68" s="124">
        <v>300</v>
      </c>
      <c r="F68" s="125">
        <v>37</v>
      </c>
      <c r="G68" s="125">
        <f t="shared" si="4"/>
        <v>22.2</v>
      </c>
      <c r="H68" s="125">
        <f t="shared" si="5"/>
        <v>1.554</v>
      </c>
      <c r="I68" s="126">
        <f t="shared" si="6"/>
        <v>-11123.754</v>
      </c>
      <c r="J68" s="76">
        <f>SUM(I68:I70)</f>
        <v>-48202.934</v>
      </c>
      <c r="K68" s="37">
        <f aca="true" t="shared" si="7" ref="K68:K113">K67+I68</f>
        <v>43647.62220000003</v>
      </c>
      <c r="L68" s="127"/>
      <c r="N68" s="2"/>
    </row>
    <row r="69" spans="1:12" ht="21.75">
      <c r="A69" s="32"/>
      <c r="B69" s="1"/>
      <c r="C69" s="164" t="s">
        <v>37</v>
      </c>
      <c r="D69" s="165" t="s">
        <v>0</v>
      </c>
      <c r="E69" s="166">
        <v>200</v>
      </c>
      <c r="F69" s="167">
        <v>52.5</v>
      </c>
      <c r="G69" s="169">
        <f t="shared" si="4"/>
        <v>21</v>
      </c>
      <c r="H69" s="167">
        <f t="shared" si="5"/>
        <v>1.4700000000000002</v>
      </c>
      <c r="I69" s="168">
        <f t="shared" si="6"/>
        <v>-10522.47</v>
      </c>
      <c r="J69" s="34"/>
      <c r="K69" s="35">
        <f t="shared" si="7"/>
        <v>33125.152200000026</v>
      </c>
      <c r="L69" s="78"/>
    </row>
    <row r="70" spans="1:12" ht="22.5" thickBot="1">
      <c r="A70" s="33"/>
      <c r="B70" s="4"/>
      <c r="C70" s="48" t="s">
        <v>37</v>
      </c>
      <c r="D70" s="49" t="s">
        <v>0</v>
      </c>
      <c r="E70" s="50">
        <v>500</v>
      </c>
      <c r="F70" s="52">
        <v>53</v>
      </c>
      <c r="G70" s="52">
        <f t="shared" si="4"/>
        <v>53</v>
      </c>
      <c r="H70" s="52">
        <f t="shared" si="5"/>
        <v>3.7100000000000004</v>
      </c>
      <c r="I70" s="53">
        <f t="shared" si="6"/>
        <v>-26556.71</v>
      </c>
      <c r="J70" s="39"/>
      <c r="K70" s="40">
        <f t="shared" si="7"/>
        <v>6568.442200000027</v>
      </c>
      <c r="L70" s="41"/>
    </row>
    <row r="71" spans="1:12" ht="22.5" thickBot="1">
      <c r="A71" s="55" t="s">
        <v>68</v>
      </c>
      <c r="B71" s="5"/>
      <c r="C71" s="251" t="s">
        <v>52</v>
      </c>
      <c r="D71" s="252" t="s">
        <v>1</v>
      </c>
      <c r="E71" s="253">
        <v>500</v>
      </c>
      <c r="F71" s="254">
        <v>28.75</v>
      </c>
      <c r="G71" s="254">
        <f t="shared" si="4"/>
        <v>28.75</v>
      </c>
      <c r="H71" s="254">
        <f t="shared" si="5"/>
        <v>2.0125</v>
      </c>
      <c r="I71" s="255">
        <f t="shared" si="6"/>
        <v>14344.2375</v>
      </c>
      <c r="J71" s="56">
        <f>I71</f>
        <v>14344.2375</v>
      </c>
      <c r="K71" s="57">
        <f t="shared" si="7"/>
        <v>20912.679700000026</v>
      </c>
      <c r="L71" s="262">
        <f>I65+I71</f>
        <v>690.0799999999999</v>
      </c>
    </row>
    <row r="72" spans="1:12" ht="21.75">
      <c r="A72" s="31" t="s">
        <v>69</v>
      </c>
      <c r="B72" s="3"/>
      <c r="C72" s="270" t="s">
        <v>48</v>
      </c>
      <c r="D72" s="16" t="s">
        <v>0</v>
      </c>
      <c r="E72" s="271">
        <v>500</v>
      </c>
      <c r="F72" s="272">
        <v>37.5</v>
      </c>
      <c r="G72" s="273">
        <f t="shared" si="4"/>
        <v>37.5</v>
      </c>
      <c r="H72" s="272">
        <f t="shared" si="5"/>
        <v>2.6250000000000004</v>
      </c>
      <c r="I72" s="274">
        <f t="shared" si="6"/>
        <v>-18790.125</v>
      </c>
      <c r="J72" s="76">
        <f>SUM(I72:I74)</f>
        <v>-17913.879</v>
      </c>
      <c r="K72" s="37">
        <f t="shared" si="7"/>
        <v>2122.554700000026</v>
      </c>
      <c r="L72" s="127"/>
    </row>
    <row r="73" spans="1:12" ht="21.75">
      <c r="A73" s="32"/>
      <c r="B73" s="1"/>
      <c r="C73" s="138" t="s">
        <v>21</v>
      </c>
      <c r="D73" s="8" t="s">
        <v>1</v>
      </c>
      <c r="E73" s="139">
        <v>300</v>
      </c>
      <c r="F73" s="140">
        <v>20</v>
      </c>
      <c r="G73" s="140">
        <f t="shared" si="4"/>
        <v>12</v>
      </c>
      <c r="H73" s="140">
        <f t="shared" si="5"/>
        <v>0.8400000000000001</v>
      </c>
      <c r="I73" s="141">
        <f t="shared" si="6"/>
        <v>5987.16</v>
      </c>
      <c r="J73" s="34"/>
      <c r="K73" s="35">
        <f t="shared" si="7"/>
        <v>8109.714700000026</v>
      </c>
      <c r="L73" s="263">
        <f>I5+I20+I21+I50+I73</f>
        <v>-2221.056399999992</v>
      </c>
    </row>
    <row r="74" spans="1:12" ht="22.5" thickBot="1">
      <c r="A74" s="33"/>
      <c r="B74" s="4"/>
      <c r="C74" s="48" t="s">
        <v>37</v>
      </c>
      <c r="D74" s="49" t="s">
        <v>0</v>
      </c>
      <c r="E74" s="50">
        <v>100</v>
      </c>
      <c r="F74" s="52">
        <v>51</v>
      </c>
      <c r="G74" s="52">
        <f t="shared" si="4"/>
        <v>10.200000000000001</v>
      </c>
      <c r="H74" s="52">
        <f t="shared" si="5"/>
        <v>0.7140000000000002</v>
      </c>
      <c r="I74" s="53">
        <f t="shared" si="6"/>
        <v>-5110.914</v>
      </c>
      <c r="J74" s="39"/>
      <c r="K74" s="40">
        <f t="shared" si="7"/>
        <v>2998.800700000026</v>
      </c>
      <c r="L74" s="41"/>
    </row>
    <row r="75" spans="1:14" ht="22.5" thickBot="1">
      <c r="A75" s="55" t="s">
        <v>70</v>
      </c>
      <c r="B75" s="5"/>
      <c r="C75" s="264" t="s">
        <v>57</v>
      </c>
      <c r="D75" s="265" t="s">
        <v>1</v>
      </c>
      <c r="E75" s="266">
        <v>1500</v>
      </c>
      <c r="F75" s="267">
        <v>27.5</v>
      </c>
      <c r="G75" s="268">
        <f t="shared" si="4"/>
        <v>82.5</v>
      </c>
      <c r="H75" s="267">
        <f t="shared" si="5"/>
        <v>5.775</v>
      </c>
      <c r="I75" s="269">
        <f t="shared" si="6"/>
        <v>41161.725</v>
      </c>
      <c r="J75" s="56">
        <f>I75</f>
        <v>41161.725</v>
      </c>
      <c r="K75" s="57">
        <f t="shared" si="7"/>
        <v>44160.52570000003</v>
      </c>
      <c r="L75" s="58"/>
      <c r="N75" s="2"/>
    </row>
    <row r="76" spans="1:12" ht="21.75">
      <c r="A76" s="31" t="s">
        <v>75</v>
      </c>
      <c r="B76" s="3"/>
      <c r="C76" s="101" t="s">
        <v>31</v>
      </c>
      <c r="D76" s="12" t="s">
        <v>1</v>
      </c>
      <c r="E76" s="102">
        <v>500</v>
      </c>
      <c r="F76" s="103">
        <v>8.1</v>
      </c>
      <c r="G76" s="103">
        <f t="shared" si="4"/>
        <v>8.1</v>
      </c>
      <c r="H76" s="103">
        <f t="shared" si="5"/>
        <v>0.5670000000000001</v>
      </c>
      <c r="I76" s="104">
        <f t="shared" si="6"/>
        <v>4041.333</v>
      </c>
      <c r="J76" s="76">
        <f>SUM(I76:I77)</f>
        <v>9230.205</v>
      </c>
      <c r="K76" s="37">
        <f t="shared" si="7"/>
        <v>48201.858700000026</v>
      </c>
      <c r="L76" s="301">
        <f>I34+I46+I76</f>
        <v>-861.7545000000005</v>
      </c>
    </row>
    <row r="77" spans="1:14" ht="21.75">
      <c r="A77" s="32"/>
      <c r="B77" s="1"/>
      <c r="C77" s="65" t="s">
        <v>57</v>
      </c>
      <c r="D77" s="66" t="s">
        <v>1</v>
      </c>
      <c r="E77" s="67">
        <v>200</v>
      </c>
      <c r="F77" s="68">
        <v>26</v>
      </c>
      <c r="G77" s="68">
        <f t="shared" si="4"/>
        <v>10.4</v>
      </c>
      <c r="H77" s="68">
        <f t="shared" si="5"/>
        <v>0.7280000000000001</v>
      </c>
      <c r="I77" s="69">
        <f t="shared" si="6"/>
        <v>5188.872</v>
      </c>
      <c r="J77" s="34"/>
      <c r="K77" s="387">
        <f>K76+I77+N77</f>
        <v>43390.73070000003</v>
      </c>
      <c r="L77" s="78"/>
      <c r="M77" s="337" t="s">
        <v>77</v>
      </c>
      <c r="N77" s="338">
        <v>-10000</v>
      </c>
    </row>
    <row r="78" spans="1:12" ht="22.5" thickBot="1">
      <c r="A78" s="33"/>
      <c r="B78" s="4"/>
      <c r="C78" s="302" t="s">
        <v>57</v>
      </c>
      <c r="D78" s="303" t="s">
        <v>0</v>
      </c>
      <c r="E78" s="304">
        <v>200</v>
      </c>
      <c r="F78" s="305">
        <v>26</v>
      </c>
      <c r="G78" s="306">
        <f t="shared" si="4"/>
        <v>10.4</v>
      </c>
      <c r="H78" s="305">
        <f t="shared" si="5"/>
        <v>0.7280000000000001</v>
      </c>
      <c r="I78" s="307">
        <f t="shared" si="6"/>
        <v>-5211.128</v>
      </c>
      <c r="J78" s="39"/>
      <c r="K78" s="40"/>
      <c r="L78" s="41"/>
    </row>
    <row r="79" spans="1:12" ht="21.75">
      <c r="A79" s="31" t="s">
        <v>78</v>
      </c>
      <c r="B79" s="3"/>
      <c r="C79" s="83" t="s">
        <v>37</v>
      </c>
      <c r="D79" s="84" t="s">
        <v>0</v>
      </c>
      <c r="E79" s="85">
        <v>100</v>
      </c>
      <c r="F79" s="86">
        <v>50.5</v>
      </c>
      <c r="G79" s="86">
        <f t="shared" si="4"/>
        <v>10.1</v>
      </c>
      <c r="H79" s="86">
        <f t="shared" si="5"/>
        <v>0.7070000000000001</v>
      </c>
      <c r="I79" s="88">
        <f t="shared" si="6"/>
        <v>-5060.807000000001</v>
      </c>
      <c r="J79" s="76">
        <f>SUM(I79:I81)</f>
        <v>-40260.9745</v>
      </c>
      <c r="K79" s="37">
        <f>K77+I79</f>
        <v>38329.92370000003</v>
      </c>
      <c r="L79" s="127"/>
    </row>
    <row r="80" spans="1:12" ht="21.75">
      <c r="A80" s="32"/>
      <c r="B80" s="1"/>
      <c r="C80" s="339" t="s">
        <v>48</v>
      </c>
      <c r="D80" s="340" t="s">
        <v>0</v>
      </c>
      <c r="E80" s="341">
        <v>500</v>
      </c>
      <c r="F80" s="342">
        <v>36</v>
      </c>
      <c r="G80" s="342">
        <f t="shared" si="4"/>
        <v>36</v>
      </c>
      <c r="H80" s="342">
        <f t="shared" si="5"/>
        <v>2.5200000000000005</v>
      </c>
      <c r="I80" s="343">
        <f t="shared" si="6"/>
        <v>-18038.52</v>
      </c>
      <c r="J80" s="34"/>
      <c r="K80" s="35">
        <f t="shared" si="7"/>
        <v>20291.403700000028</v>
      </c>
      <c r="L80" s="78"/>
    </row>
    <row r="81" spans="1:12" ht="22.5" thickBot="1">
      <c r="A81" s="33"/>
      <c r="B81" s="4"/>
      <c r="C81" s="344" t="s">
        <v>48</v>
      </c>
      <c r="D81" s="345" t="s">
        <v>0</v>
      </c>
      <c r="E81" s="346">
        <v>500</v>
      </c>
      <c r="F81" s="347">
        <v>34.25</v>
      </c>
      <c r="G81" s="348">
        <f t="shared" si="4"/>
        <v>34.25</v>
      </c>
      <c r="H81" s="347">
        <f t="shared" si="5"/>
        <v>2.3975000000000004</v>
      </c>
      <c r="I81" s="349">
        <f t="shared" si="6"/>
        <v>-17161.6475</v>
      </c>
      <c r="J81" s="39"/>
      <c r="K81" s="40">
        <f t="shared" si="7"/>
        <v>3129.756200000029</v>
      </c>
      <c r="L81" s="41"/>
    </row>
    <row r="82" spans="1:12" ht="21.75">
      <c r="A82" s="31" t="s">
        <v>79</v>
      </c>
      <c r="B82" s="3"/>
      <c r="C82" s="361" t="s">
        <v>57</v>
      </c>
      <c r="D82" s="362" t="s">
        <v>1</v>
      </c>
      <c r="E82" s="363">
        <v>300</v>
      </c>
      <c r="F82" s="364">
        <v>27.25</v>
      </c>
      <c r="G82" s="364">
        <f t="shared" si="4"/>
        <v>16.35</v>
      </c>
      <c r="H82" s="364">
        <f t="shared" si="5"/>
        <v>1.1445000000000003</v>
      </c>
      <c r="I82" s="365">
        <f t="shared" si="6"/>
        <v>8157.505499999999</v>
      </c>
      <c r="J82" s="76">
        <f>I82</f>
        <v>8157.505499999999</v>
      </c>
      <c r="K82" s="37">
        <f t="shared" si="7"/>
        <v>11287.261700000028</v>
      </c>
      <c r="L82" s="127"/>
    </row>
    <row r="83" spans="1:12" ht="22.5" thickBot="1">
      <c r="A83" s="33"/>
      <c r="B83" s="4"/>
      <c r="C83" s="302" t="s">
        <v>57</v>
      </c>
      <c r="D83" s="303" t="s">
        <v>1</v>
      </c>
      <c r="E83" s="304">
        <v>200</v>
      </c>
      <c r="F83" s="305">
        <v>27.25</v>
      </c>
      <c r="G83" s="305">
        <f t="shared" si="4"/>
        <v>10.9</v>
      </c>
      <c r="H83" s="305">
        <f t="shared" si="5"/>
        <v>0.7630000000000001</v>
      </c>
      <c r="I83" s="307">
        <f t="shared" si="6"/>
        <v>5438.337</v>
      </c>
      <c r="J83" s="39"/>
      <c r="K83" s="40"/>
      <c r="L83" s="366">
        <f>I57+I62+I75+I77+I78+I82+I83</f>
        <v>3125.1014999999998</v>
      </c>
    </row>
    <row r="84" spans="1:12" ht="22.5" thickBot="1">
      <c r="A84" s="55" t="s">
        <v>80</v>
      </c>
      <c r="B84" s="5"/>
      <c r="C84" s="173" t="s">
        <v>37</v>
      </c>
      <c r="D84" s="174" t="s">
        <v>0</v>
      </c>
      <c r="E84" s="175">
        <v>200</v>
      </c>
      <c r="F84" s="176">
        <v>52</v>
      </c>
      <c r="G84" s="367">
        <f t="shared" si="4"/>
        <v>20.8</v>
      </c>
      <c r="H84" s="176">
        <f t="shared" si="5"/>
        <v>1.4560000000000002</v>
      </c>
      <c r="I84" s="177">
        <f t="shared" si="6"/>
        <v>-10422.256</v>
      </c>
      <c r="J84" s="56">
        <f>I84</f>
        <v>-10422.256</v>
      </c>
      <c r="K84" s="57">
        <f>K82+I84</f>
        <v>865.0057000000288</v>
      </c>
      <c r="L84" s="58"/>
    </row>
    <row r="85" spans="1:12" ht="21.75">
      <c r="A85" s="31" t="s">
        <v>81</v>
      </c>
      <c r="B85" s="3"/>
      <c r="C85" s="123" t="s">
        <v>27</v>
      </c>
      <c r="D85" s="11" t="s">
        <v>1</v>
      </c>
      <c r="E85" s="124">
        <v>600</v>
      </c>
      <c r="F85" s="125">
        <v>48.75</v>
      </c>
      <c r="G85" s="125">
        <f t="shared" si="4"/>
        <v>58.5</v>
      </c>
      <c r="H85" s="125">
        <f t="shared" si="5"/>
        <v>4.095000000000001</v>
      </c>
      <c r="I85" s="126">
        <f t="shared" si="6"/>
        <v>29187.405</v>
      </c>
      <c r="J85" s="375">
        <f>SUM(I85:I86)</f>
        <v>626.4149999999972</v>
      </c>
      <c r="K85" s="37">
        <f t="shared" si="7"/>
        <v>30052.41070000003</v>
      </c>
      <c r="L85" s="369">
        <f>I12+I17+I18+I22+I24+I25+I28+I29+I31+SUM(I40:I43)+SUM(I51:I56)+SUM(I59:I61)+I68+I85</f>
        <v>16864.954999999994</v>
      </c>
    </row>
    <row r="86" spans="1:12" ht="22.5" thickBot="1">
      <c r="A86" s="33"/>
      <c r="B86" s="4"/>
      <c r="C86" s="370" t="s">
        <v>27</v>
      </c>
      <c r="D86" s="371" t="s">
        <v>0</v>
      </c>
      <c r="E86" s="372">
        <v>600</v>
      </c>
      <c r="F86" s="373">
        <v>47.5</v>
      </c>
      <c r="G86" s="373">
        <f t="shared" si="4"/>
        <v>57</v>
      </c>
      <c r="H86" s="373">
        <f t="shared" si="5"/>
        <v>3.99</v>
      </c>
      <c r="I86" s="374">
        <f t="shared" si="6"/>
        <v>-28560.99</v>
      </c>
      <c r="J86" s="39"/>
      <c r="K86" s="40">
        <f t="shared" si="7"/>
        <v>1491.4207000000279</v>
      </c>
      <c r="L86" s="41"/>
    </row>
    <row r="87" spans="1:12" ht="22.5" thickBot="1">
      <c r="A87" s="55" t="s">
        <v>82</v>
      </c>
      <c r="B87" s="5"/>
      <c r="C87" s="251" t="s">
        <v>27</v>
      </c>
      <c r="D87" s="252" t="s">
        <v>1</v>
      </c>
      <c r="E87" s="253">
        <v>600</v>
      </c>
      <c r="F87" s="254">
        <v>49.5</v>
      </c>
      <c r="G87" s="377">
        <f t="shared" si="4"/>
        <v>59.4</v>
      </c>
      <c r="H87" s="254">
        <f t="shared" si="5"/>
        <v>4.158</v>
      </c>
      <c r="I87" s="255">
        <f t="shared" si="6"/>
        <v>29636.442</v>
      </c>
      <c r="J87" s="56">
        <f>I87</f>
        <v>29636.442</v>
      </c>
      <c r="K87" s="57">
        <f t="shared" si="7"/>
        <v>31127.862700000027</v>
      </c>
      <c r="L87" s="262">
        <f>I86+I87</f>
        <v>1075.4519999999975</v>
      </c>
    </row>
    <row r="88" spans="1:12" ht="22.5" thickBot="1">
      <c r="A88" s="55" t="s">
        <v>83</v>
      </c>
      <c r="B88" s="5"/>
      <c r="C88" s="378" t="s">
        <v>27</v>
      </c>
      <c r="D88" s="379" t="s">
        <v>0</v>
      </c>
      <c r="E88" s="380">
        <v>600</v>
      </c>
      <c r="F88" s="381">
        <v>47</v>
      </c>
      <c r="G88" s="381">
        <f t="shared" si="4"/>
        <v>56.4</v>
      </c>
      <c r="H88" s="381">
        <f t="shared" si="5"/>
        <v>3.9480000000000004</v>
      </c>
      <c r="I88" s="382">
        <f t="shared" si="6"/>
        <v>-28260.348</v>
      </c>
      <c r="J88" s="56">
        <f>I88</f>
        <v>-28260.348</v>
      </c>
      <c r="K88" s="57">
        <f t="shared" si="7"/>
        <v>2867.514700000025</v>
      </c>
      <c r="L88" s="58"/>
    </row>
    <row r="89" spans="1:12" ht="21.75">
      <c r="A89" s="31" t="s">
        <v>84</v>
      </c>
      <c r="B89" s="3"/>
      <c r="C89" s="83" t="s">
        <v>37</v>
      </c>
      <c r="D89" s="84" t="s">
        <v>1</v>
      </c>
      <c r="E89" s="85">
        <v>400</v>
      </c>
      <c r="F89" s="86">
        <v>54</v>
      </c>
      <c r="G89" s="86">
        <f t="shared" si="4"/>
        <v>43.2</v>
      </c>
      <c r="H89" s="86">
        <f t="shared" si="5"/>
        <v>3.0240000000000005</v>
      </c>
      <c r="I89" s="88">
        <f t="shared" si="6"/>
        <v>21553.775999999998</v>
      </c>
      <c r="J89" s="76">
        <f>SUM(I89:I90)</f>
        <v>40513.115999999995</v>
      </c>
      <c r="K89" s="37">
        <f t="shared" si="7"/>
        <v>24421.290700000023</v>
      </c>
      <c r="L89" s="127"/>
    </row>
    <row r="90" spans="1:12" ht="22.5" thickBot="1">
      <c r="A90" s="33"/>
      <c r="B90" s="4"/>
      <c r="C90" s="344" t="s">
        <v>48</v>
      </c>
      <c r="D90" s="345" t="s">
        <v>1</v>
      </c>
      <c r="E90" s="346">
        <v>500</v>
      </c>
      <c r="F90" s="347">
        <v>38</v>
      </c>
      <c r="G90" s="348">
        <f t="shared" si="4"/>
        <v>38</v>
      </c>
      <c r="H90" s="347">
        <f t="shared" si="5"/>
        <v>2.66</v>
      </c>
      <c r="I90" s="349">
        <f t="shared" si="6"/>
        <v>18959.34</v>
      </c>
      <c r="J90" s="39"/>
      <c r="K90" s="40">
        <f t="shared" si="7"/>
        <v>43380.63070000002</v>
      </c>
      <c r="L90" s="41"/>
    </row>
    <row r="91" spans="1:14" ht="22.5" thickBot="1">
      <c r="A91" s="55" t="s">
        <v>85</v>
      </c>
      <c r="B91" s="5"/>
      <c r="C91" s="173" t="s">
        <v>37</v>
      </c>
      <c r="D91" s="174" t="s">
        <v>0</v>
      </c>
      <c r="E91" s="175">
        <v>400</v>
      </c>
      <c r="F91" s="176">
        <v>53</v>
      </c>
      <c r="G91" s="176">
        <f t="shared" si="4"/>
        <v>42.4</v>
      </c>
      <c r="H91" s="176">
        <f t="shared" si="5"/>
        <v>2.968</v>
      </c>
      <c r="I91" s="177">
        <f t="shared" si="6"/>
        <v>-21245.368000000002</v>
      </c>
      <c r="J91" s="56">
        <f>I91</f>
        <v>-21245.368000000002</v>
      </c>
      <c r="K91" s="57">
        <f t="shared" si="7"/>
        <v>22135.26270000002</v>
      </c>
      <c r="L91" s="58"/>
      <c r="N91" s="2"/>
    </row>
    <row r="92" spans="1:12" ht="21.75">
      <c r="A92" s="31" t="s">
        <v>86</v>
      </c>
      <c r="B92" s="3"/>
      <c r="C92" s="83" t="s">
        <v>37</v>
      </c>
      <c r="D92" s="84" t="s">
        <v>1</v>
      </c>
      <c r="E92" s="85">
        <v>800</v>
      </c>
      <c r="F92" s="86">
        <v>54.5</v>
      </c>
      <c r="G92" s="86">
        <f t="shared" si="4"/>
        <v>87.2</v>
      </c>
      <c r="H92" s="86">
        <f t="shared" si="5"/>
        <v>6.104000000000001</v>
      </c>
      <c r="I92" s="88">
        <f t="shared" si="6"/>
        <v>43506.696</v>
      </c>
      <c r="J92" s="76">
        <f>SUM(I92:I93)</f>
        <v>24967.106000000003</v>
      </c>
      <c r="K92" s="37">
        <f t="shared" si="7"/>
        <v>65641.95870000002</v>
      </c>
      <c r="L92" s="127"/>
    </row>
    <row r="93" spans="1:12" ht="22.5" thickBot="1">
      <c r="A93" s="33"/>
      <c r="B93" s="4"/>
      <c r="C93" s="344" t="s">
        <v>48</v>
      </c>
      <c r="D93" s="345" t="s">
        <v>0</v>
      </c>
      <c r="E93" s="346">
        <v>500</v>
      </c>
      <c r="F93" s="347">
        <v>37</v>
      </c>
      <c r="G93" s="348">
        <f t="shared" si="4"/>
        <v>37</v>
      </c>
      <c r="H93" s="347">
        <f t="shared" si="5"/>
        <v>2.5900000000000003</v>
      </c>
      <c r="I93" s="349">
        <f t="shared" si="6"/>
        <v>-18539.59</v>
      </c>
      <c r="J93" s="39"/>
      <c r="K93" s="40">
        <f t="shared" si="7"/>
        <v>47102.36870000002</v>
      </c>
      <c r="L93" s="41"/>
    </row>
    <row r="94" spans="1:12" ht="22.5" thickBot="1">
      <c r="A94" s="55" t="s">
        <v>87</v>
      </c>
      <c r="B94" s="5"/>
      <c r="C94" s="173" t="s">
        <v>37</v>
      </c>
      <c r="D94" s="174" t="s">
        <v>1</v>
      </c>
      <c r="E94" s="175">
        <v>300</v>
      </c>
      <c r="F94" s="176">
        <v>53</v>
      </c>
      <c r="G94" s="176">
        <f t="shared" si="4"/>
        <v>31.8</v>
      </c>
      <c r="H94" s="176">
        <f t="shared" si="5"/>
        <v>2.2260000000000004</v>
      </c>
      <c r="I94" s="177">
        <f t="shared" si="6"/>
        <v>15865.974</v>
      </c>
      <c r="J94" s="56">
        <f>I94</f>
        <v>15865.974</v>
      </c>
      <c r="K94" s="57">
        <f t="shared" si="7"/>
        <v>62968.34270000002</v>
      </c>
      <c r="L94" s="390">
        <f>I69+I70+I74+I79+I84+I89+I91+I92+I94</f>
        <v>2007.9210000000003</v>
      </c>
    </row>
    <row r="95" spans="1:14" ht="22.5" thickBot="1">
      <c r="A95" s="55" t="s">
        <v>88</v>
      </c>
      <c r="B95" s="5"/>
      <c r="C95" s="392" t="s">
        <v>48</v>
      </c>
      <c r="D95" s="393" t="s">
        <v>1</v>
      </c>
      <c r="E95" s="394">
        <v>1000</v>
      </c>
      <c r="F95" s="395">
        <v>38</v>
      </c>
      <c r="G95" s="395">
        <f t="shared" si="4"/>
        <v>76</v>
      </c>
      <c r="H95" s="395">
        <f t="shared" si="5"/>
        <v>5.32</v>
      </c>
      <c r="I95" s="396">
        <f t="shared" si="6"/>
        <v>37918.68</v>
      </c>
      <c r="J95" s="56">
        <f>I95</f>
        <v>37918.68</v>
      </c>
      <c r="K95" s="250">
        <f>K94+I95+N95</f>
        <v>90887.02270000003</v>
      </c>
      <c r="L95" s="58"/>
      <c r="M95" s="337" t="s">
        <v>89</v>
      </c>
      <c r="N95" s="338">
        <f>-10000</f>
        <v>-10000</v>
      </c>
    </row>
    <row r="96" spans="1:12" ht="22.5" thickBot="1">
      <c r="A96" s="55" t="s">
        <v>90</v>
      </c>
      <c r="B96" s="5"/>
      <c r="C96" s="392" t="s">
        <v>48</v>
      </c>
      <c r="D96" s="393" t="s">
        <v>0</v>
      </c>
      <c r="E96" s="394">
        <v>500</v>
      </c>
      <c r="F96" s="395">
        <v>36.5</v>
      </c>
      <c r="G96" s="397">
        <f t="shared" si="4"/>
        <v>36.5</v>
      </c>
      <c r="H96" s="395">
        <f t="shared" si="5"/>
        <v>2.555</v>
      </c>
      <c r="I96" s="396">
        <f t="shared" si="6"/>
        <v>-18289.055</v>
      </c>
      <c r="J96" s="56">
        <f>I96</f>
        <v>-18289.055</v>
      </c>
      <c r="K96" s="57">
        <f t="shared" si="7"/>
        <v>72597.96770000004</v>
      </c>
      <c r="L96" s="58"/>
    </row>
    <row r="97" spans="1:14" ht="22.5" thickBot="1">
      <c r="A97" s="55" t="s">
        <v>91</v>
      </c>
      <c r="B97" s="5"/>
      <c r="C97" s="392" t="s">
        <v>48</v>
      </c>
      <c r="D97" s="393" t="s">
        <v>0</v>
      </c>
      <c r="E97" s="394">
        <v>500</v>
      </c>
      <c r="F97" s="395">
        <v>37</v>
      </c>
      <c r="G97" s="395">
        <f t="shared" si="4"/>
        <v>37</v>
      </c>
      <c r="H97" s="395">
        <f t="shared" si="5"/>
        <v>2.5900000000000003</v>
      </c>
      <c r="I97" s="396">
        <f t="shared" si="6"/>
        <v>-18539.59</v>
      </c>
      <c r="J97" s="56">
        <f>I97</f>
        <v>-18539.59</v>
      </c>
      <c r="K97" s="57">
        <f t="shared" si="7"/>
        <v>54058.37770000004</v>
      </c>
      <c r="L97" s="58"/>
      <c r="N97" s="2"/>
    </row>
    <row r="98" spans="1:12" ht="22.5" thickBot="1">
      <c r="A98" s="55" t="s">
        <v>92</v>
      </c>
      <c r="B98" s="5"/>
      <c r="C98" s="378" t="s">
        <v>27</v>
      </c>
      <c r="D98" s="379" t="s">
        <v>0</v>
      </c>
      <c r="E98" s="380">
        <v>400</v>
      </c>
      <c r="F98" s="381">
        <v>45.25</v>
      </c>
      <c r="G98" s="381">
        <f t="shared" si="4"/>
        <v>36.2</v>
      </c>
      <c r="H98" s="381">
        <f t="shared" si="5"/>
        <v>2.5340000000000003</v>
      </c>
      <c r="I98" s="382">
        <f t="shared" si="6"/>
        <v>-18138.734</v>
      </c>
      <c r="J98" s="56">
        <f>I98</f>
        <v>-18138.734</v>
      </c>
      <c r="K98" s="57">
        <f t="shared" si="7"/>
        <v>35919.643700000044</v>
      </c>
      <c r="L98" s="58"/>
    </row>
    <row r="99" spans="1:14" ht="21.75">
      <c r="A99" s="31" t="s">
        <v>97</v>
      </c>
      <c r="B99" s="3"/>
      <c r="C99" s="408" t="s">
        <v>48</v>
      </c>
      <c r="D99" s="409" t="s">
        <v>1</v>
      </c>
      <c r="E99" s="410">
        <v>500</v>
      </c>
      <c r="F99" s="411">
        <v>39.25</v>
      </c>
      <c r="G99" s="412">
        <f t="shared" si="4"/>
        <v>39.25</v>
      </c>
      <c r="H99" s="411">
        <f t="shared" si="5"/>
        <v>2.7475</v>
      </c>
      <c r="I99" s="413">
        <f t="shared" si="6"/>
        <v>19583.0025</v>
      </c>
      <c r="J99" s="76">
        <f>SUM(I99:I100)</f>
        <v>-83.99500000000262</v>
      </c>
      <c r="K99" s="414">
        <f>K98+I99+N99</f>
        <v>35502.64620000005</v>
      </c>
      <c r="L99" s="127"/>
      <c r="M99" s="337" t="s">
        <v>89</v>
      </c>
      <c r="N99" s="338">
        <v>-20000</v>
      </c>
    </row>
    <row r="100" spans="1:12" ht="22.5" thickBot="1">
      <c r="A100" s="33"/>
      <c r="B100" s="4"/>
      <c r="C100" s="433" t="s">
        <v>48</v>
      </c>
      <c r="D100" s="434" t="s">
        <v>0</v>
      </c>
      <c r="E100" s="435">
        <v>500</v>
      </c>
      <c r="F100" s="436">
        <v>39.25</v>
      </c>
      <c r="G100" s="436">
        <f t="shared" si="4"/>
        <v>39.25</v>
      </c>
      <c r="H100" s="436">
        <f t="shared" si="5"/>
        <v>2.7475</v>
      </c>
      <c r="I100" s="437">
        <f t="shared" si="6"/>
        <v>-19666.9975</v>
      </c>
      <c r="J100" s="39"/>
      <c r="K100" s="40"/>
      <c r="L100" s="41"/>
    </row>
    <row r="101" spans="1:12" ht="22.5" thickBot="1">
      <c r="A101" s="55" t="s">
        <v>98</v>
      </c>
      <c r="B101" s="5"/>
      <c r="C101" s="59" t="s">
        <v>57</v>
      </c>
      <c r="D101" s="60" t="s">
        <v>0</v>
      </c>
      <c r="E101" s="61">
        <v>500</v>
      </c>
      <c r="F101" s="63">
        <v>28</v>
      </c>
      <c r="G101" s="63">
        <f t="shared" si="4"/>
        <v>28</v>
      </c>
      <c r="H101" s="63">
        <f t="shared" si="5"/>
        <v>1.9600000000000002</v>
      </c>
      <c r="I101" s="64">
        <f t="shared" si="6"/>
        <v>-14029.96</v>
      </c>
      <c r="J101" s="56">
        <f>I101</f>
        <v>-14029.96</v>
      </c>
      <c r="K101" s="57">
        <f>K99+I101</f>
        <v>21472.686200000047</v>
      </c>
      <c r="L101" s="58"/>
    </row>
    <row r="102" spans="1:12" ht="22.5" thickBot="1">
      <c r="A102" s="55" t="s">
        <v>99</v>
      </c>
      <c r="B102" s="5"/>
      <c r="C102" s="425" t="s">
        <v>100</v>
      </c>
      <c r="D102" s="426" t="s">
        <v>0</v>
      </c>
      <c r="E102" s="427">
        <v>500</v>
      </c>
      <c r="F102" s="428">
        <v>28.75</v>
      </c>
      <c r="G102" s="429">
        <f t="shared" si="4"/>
        <v>28.75</v>
      </c>
      <c r="H102" s="428">
        <f t="shared" si="5"/>
        <v>2.0125</v>
      </c>
      <c r="I102" s="430">
        <f t="shared" si="6"/>
        <v>-14405.7625</v>
      </c>
      <c r="J102" s="56">
        <f>I102</f>
        <v>-14405.7625</v>
      </c>
      <c r="K102" s="57">
        <f t="shared" si="7"/>
        <v>7066.923700000047</v>
      </c>
      <c r="L102" s="58"/>
    </row>
    <row r="103" spans="1:12" ht="21.75">
      <c r="A103" s="31" t="s">
        <v>101</v>
      </c>
      <c r="B103" s="3"/>
      <c r="C103" s="101" t="s">
        <v>100</v>
      </c>
      <c r="D103" s="12" t="s">
        <v>0</v>
      </c>
      <c r="E103" s="102">
        <v>200</v>
      </c>
      <c r="F103" s="103">
        <v>29</v>
      </c>
      <c r="G103" s="103">
        <f t="shared" si="4"/>
        <v>11.6</v>
      </c>
      <c r="H103" s="103">
        <f t="shared" si="5"/>
        <v>0.812</v>
      </c>
      <c r="I103" s="104">
        <f t="shared" si="6"/>
        <v>-5812.412</v>
      </c>
      <c r="J103" s="76">
        <f>SUM(I103:I104)</f>
        <v>-2768.9390000000003</v>
      </c>
      <c r="K103" s="37">
        <f t="shared" si="7"/>
        <v>1254.5117000000464</v>
      </c>
      <c r="L103" s="127"/>
    </row>
    <row r="104" spans="1:12" ht="22.5" thickBot="1">
      <c r="A104" s="33"/>
      <c r="B104" s="4"/>
      <c r="C104" s="218" t="s">
        <v>57</v>
      </c>
      <c r="D104" s="15" t="s">
        <v>1</v>
      </c>
      <c r="E104" s="219">
        <v>100</v>
      </c>
      <c r="F104" s="220">
        <v>30.5</v>
      </c>
      <c r="G104" s="220">
        <f t="shared" si="4"/>
        <v>6.1000000000000005</v>
      </c>
      <c r="H104" s="220">
        <f t="shared" si="5"/>
        <v>0.4270000000000001</v>
      </c>
      <c r="I104" s="221">
        <f t="shared" si="6"/>
        <v>3043.473</v>
      </c>
      <c r="J104" s="39"/>
      <c r="K104" s="40">
        <f t="shared" si="7"/>
        <v>4297.984700000046</v>
      </c>
      <c r="L104" s="41"/>
    </row>
    <row r="105" spans="1:12" ht="21.75">
      <c r="A105" s="31" t="s">
        <v>102</v>
      </c>
      <c r="B105" s="3"/>
      <c r="C105" s="143" t="s">
        <v>57</v>
      </c>
      <c r="D105" s="18" t="s">
        <v>1</v>
      </c>
      <c r="E105" s="144">
        <v>400</v>
      </c>
      <c r="F105" s="145">
        <v>30</v>
      </c>
      <c r="G105" s="444">
        <f t="shared" si="4"/>
        <v>24</v>
      </c>
      <c r="H105" s="145">
        <f t="shared" si="5"/>
        <v>1.6800000000000002</v>
      </c>
      <c r="I105" s="146">
        <f t="shared" si="6"/>
        <v>11974.32</v>
      </c>
      <c r="J105" s="76">
        <f>SUM(I105:I107)</f>
        <v>52237.971</v>
      </c>
      <c r="K105" s="37">
        <f t="shared" si="7"/>
        <v>16272.304700000046</v>
      </c>
      <c r="L105" s="445">
        <f>SUM(I101,I104,I105)</f>
        <v>987.8330000000005</v>
      </c>
    </row>
    <row r="106" spans="1:12" ht="21.75">
      <c r="A106" s="32"/>
      <c r="B106" s="1"/>
      <c r="C106" s="339" t="s">
        <v>48</v>
      </c>
      <c r="D106" s="340" t="s">
        <v>1</v>
      </c>
      <c r="E106" s="341">
        <v>500</v>
      </c>
      <c r="F106" s="342">
        <v>38</v>
      </c>
      <c r="G106" s="342">
        <f t="shared" si="4"/>
        <v>38</v>
      </c>
      <c r="H106" s="342">
        <f t="shared" si="5"/>
        <v>2.66</v>
      </c>
      <c r="I106" s="343">
        <f t="shared" si="6"/>
        <v>18959.34</v>
      </c>
      <c r="J106" s="34"/>
      <c r="K106" s="35">
        <f t="shared" si="7"/>
        <v>35231.64470000005</v>
      </c>
      <c r="L106" s="78"/>
    </row>
    <row r="107" spans="1:12" ht="22.5" thickBot="1">
      <c r="A107" s="33"/>
      <c r="B107" s="4"/>
      <c r="C107" s="29" t="s">
        <v>100</v>
      </c>
      <c r="D107" s="9" t="s">
        <v>1</v>
      </c>
      <c r="E107" s="170">
        <v>700</v>
      </c>
      <c r="F107" s="171">
        <v>30.5</v>
      </c>
      <c r="G107" s="171">
        <f t="shared" si="4"/>
        <v>42.7</v>
      </c>
      <c r="H107" s="171">
        <f t="shared" si="5"/>
        <v>2.9890000000000003</v>
      </c>
      <c r="I107" s="172">
        <f t="shared" si="6"/>
        <v>21304.310999999998</v>
      </c>
      <c r="J107" s="39"/>
      <c r="K107" s="40">
        <f t="shared" si="7"/>
        <v>56535.95570000005</v>
      </c>
      <c r="L107" s="446">
        <f>SUM(I102:I103,I107)</f>
        <v>1086.1364999999969</v>
      </c>
    </row>
    <row r="108" spans="1:12" ht="22.5" thickBot="1">
      <c r="A108" s="55" t="s">
        <v>103</v>
      </c>
      <c r="B108" s="5"/>
      <c r="C108" s="147" t="s">
        <v>100</v>
      </c>
      <c r="D108" s="30" t="s">
        <v>0</v>
      </c>
      <c r="E108" s="148">
        <v>700</v>
      </c>
      <c r="F108" s="149">
        <v>30</v>
      </c>
      <c r="G108" s="244">
        <f t="shared" si="4"/>
        <v>42</v>
      </c>
      <c r="H108" s="149">
        <f t="shared" si="5"/>
        <v>2.9400000000000004</v>
      </c>
      <c r="I108" s="150">
        <f t="shared" si="6"/>
        <v>-21044.94</v>
      </c>
      <c r="J108" s="56">
        <f aca="true" t="shared" si="8" ref="J108:J113">I108</f>
        <v>-21044.94</v>
      </c>
      <c r="K108" s="57">
        <f t="shared" si="7"/>
        <v>35491.01570000005</v>
      </c>
      <c r="L108" s="58"/>
    </row>
    <row r="109" spans="1:12" ht="22.5" thickBot="1">
      <c r="A109" s="55" t="s">
        <v>104</v>
      </c>
      <c r="B109" s="5"/>
      <c r="C109" s="450" t="s">
        <v>57</v>
      </c>
      <c r="D109" s="451" t="s">
        <v>0</v>
      </c>
      <c r="E109" s="452">
        <v>1000</v>
      </c>
      <c r="F109" s="453">
        <v>28</v>
      </c>
      <c r="G109" s="453">
        <f t="shared" si="4"/>
        <v>56</v>
      </c>
      <c r="H109" s="453">
        <f t="shared" si="5"/>
        <v>3.9200000000000004</v>
      </c>
      <c r="I109" s="454">
        <f t="shared" si="6"/>
        <v>-28059.92</v>
      </c>
      <c r="J109" s="56">
        <f t="shared" si="8"/>
        <v>-28059.92</v>
      </c>
      <c r="K109" s="57">
        <f t="shared" si="7"/>
        <v>7431.095700000049</v>
      </c>
      <c r="L109" s="58"/>
    </row>
    <row r="110" spans="1:12" ht="22.5" thickBot="1">
      <c r="A110" s="55" t="s">
        <v>105</v>
      </c>
      <c r="B110" s="5"/>
      <c r="C110" s="450" t="s">
        <v>57</v>
      </c>
      <c r="D110" s="451" t="s">
        <v>0</v>
      </c>
      <c r="E110" s="452">
        <v>200</v>
      </c>
      <c r="F110" s="453">
        <v>27.5</v>
      </c>
      <c r="G110" s="453">
        <f t="shared" si="4"/>
        <v>11</v>
      </c>
      <c r="H110" s="453">
        <f t="shared" si="5"/>
        <v>0.77</v>
      </c>
      <c r="I110" s="454">
        <f t="shared" si="6"/>
        <v>-5511.77</v>
      </c>
      <c r="J110" s="56">
        <f t="shared" si="8"/>
        <v>-5511.77</v>
      </c>
      <c r="K110" s="57">
        <f t="shared" si="7"/>
        <v>1919.3257000000485</v>
      </c>
      <c r="L110" s="58"/>
    </row>
    <row r="111" spans="1:12" ht="22.5" thickBot="1">
      <c r="A111" s="55" t="s">
        <v>106</v>
      </c>
      <c r="B111" s="5"/>
      <c r="C111" s="147" t="s">
        <v>100</v>
      </c>
      <c r="D111" s="30" t="s">
        <v>1</v>
      </c>
      <c r="E111" s="148">
        <v>700</v>
      </c>
      <c r="F111" s="149">
        <v>30.5</v>
      </c>
      <c r="G111" s="244">
        <f t="shared" si="4"/>
        <v>42.7</v>
      </c>
      <c r="H111" s="149">
        <f t="shared" si="5"/>
        <v>2.9890000000000003</v>
      </c>
      <c r="I111" s="150">
        <f t="shared" si="6"/>
        <v>21304.310999999998</v>
      </c>
      <c r="J111" s="56">
        <f t="shared" si="8"/>
        <v>21304.310999999998</v>
      </c>
      <c r="K111" s="57">
        <f t="shared" si="7"/>
        <v>23223.636700000046</v>
      </c>
      <c r="L111" s="245">
        <f>SUM(I108,I111)</f>
        <v>259.3709999999992</v>
      </c>
    </row>
    <row r="112" spans="1:12" ht="22.5" thickBot="1">
      <c r="A112" s="55" t="s">
        <v>107</v>
      </c>
      <c r="B112" s="5"/>
      <c r="C112" s="450" t="s">
        <v>57</v>
      </c>
      <c r="D112" s="451" t="s">
        <v>0</v>
      </c>
      <c r="E112" s="452">
        <v>600</v>
      </c>
      <c r="F112" s="453">
        <v>26.75</v>
      </c>
      <c r="G112" s="453">
        <f t="shared" si="4"/>
        <v>32.1</v>
      </c>
      <c r="H112" s="453">
        <f t="shared" si="5"/>
        <v>2.2470000000000003</v>
      </c>
      <c r="I112" s="454">
        <f t="shared" si="6"/>
        <v>-16084.347</v>
      </c>
      <c r="J112" s="56">
        <f t="shared" si="8"/>
        <v>-16084.347</v>
      </c>
      <c r="K112" s="57">
        <f t="shared" si="7"/>
        <v>7139.289700000047</v>
      </c>
      <c r="L112" s="58"/>
    </row>
    <row r="113" spans="1:12" ht="22.5" thickBot="1">
      <c r="A113" s="55" t="s">
        <v>108</v>
      </c>
      <c r="B113" s="5"/>
      <c r="C113" s="264" t="s">
        <v>100</v>
      </c>
      <c r="D113" s="265" t="s">
        <v>0</v>
      </c>
      <c r="E113" s="266">
        <v>100</v>
      </c>
      <c r="F113" s="267">
        <v>29.25</v>
      </c>
      <c r="G113" s="267">
        <f t="shared" si="4"/>
        <v>5.8500000000000005</v>
      </c>
      <c r="H113" s="267">
        <f t="shared" si="5"/>
        <v>0.4095000000000001</v>
      </c>
      <c r="I113" s="269">
        <f t="shared" si="6"/>
        <v>-2931.2595</v>
      </c>
      <c r="J113" s="56">
        <f t="shared" si="8"/>
        <v>-2931.2595</v>
      </c>
      <c r="K113" s="57">
        <f t="shared" si="7"/>
        <v>4208.0302000000465</v>
      </c>
      <c r="L113" s="58"/>
    </row>
    <row r="114" ht="21.75">
      <c r="I114" s="2"/>
    </row>
    <row r="116" ht="21.75">
      <c r="J116" s="2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selection activeCell="EG3" sqref="EG3"/>
    </sheetView>
  </sheetViews>
  <sheetFormatPr defaultColWidth="9.140625" defaultRowHeight="21.75"/>
  <cols>
    <col min="1" max="1" width="6.140625" style="0" bestFit="1" customWidth="1"/>
    <col min="2" max="2" width="5.00390625" style="0" bestFit="1" customWidth="1"/>
    <col min="3" max="3" width="6.140625" style="0" bestFit="1" customWidth="1"/>
    <col min="4" max="4" width="6.28125" style="0" bestFit="1" customWidth="1"/>
    <col min="5" max="5" width="8.421875" style="0" bestFit="1" customWidth="1"/>
    <col min="6" max="6" width="6.140625" style="0" bestFit="1" customWidth="1"/>
    <col min="7" max="7" width="5.00390625" style="0" bestFit="1" customWidth="1"/>
    <col min="8" max="8" width="6.140625" style="0" bestFit="1" customWidth="1"/>
    <col min="9" max="9" width="6.28125" style="0" bestFit="1" customWidth="1"/>
    <col min="10" max="10" width="8.421875" style="0" bestFit="1" customWidth="1"/>
    <col min="11" max="11" width="6.140625" style="0" bestFit="1" customWidth="1"/>
    <col min="12" max="12" width="5.00390625" style="0" bestFit="1" customWidth="1"/>
    <col min="13" max="13" width="6.140625" style="0" bestFit="1" customWidth="1"/>
    <col min="14" max="14" width="6.28125" style="0" bestFit="1" customWidth="1"/>
    <col min="15" max="15" width="8.421875" style="0" bestFit="1" customWidth="1"/>
    <col min="16" max="16" width="6.140625" style="0" bestFit="1" customWidth="1"/>
    <col min="17" max="17" width="5.00390625" style="0" bestFit="1" customWidth="1"/>
    <col min="18" max="18" width="6.140625" style="0" bestFit="1" customWidth="1"/>
    <col min="19" max="19" width="6.28125" style="0" bestFit="1" customWidth="1"/>
    <col min="20" max="20" width="8.421875" style="0" bestFit="1" customWidth="1"/>
    <col min="21" max="21" width="6.140625" style="0" bestFit="1" customWidth="1"/>
    <col min="22" max="22" width="5.00390625" style="0" bestFit="1" customWidth="1"/>
    <col min="23" max="23" width="6.140625" style="0" bestFit="1" customWidth="1"/>
    <col min="24" max="24" width="6.28125" style="0" bestFit="1" customWidth="1"/>
    <col min="25" max="25" width="8.421875" style="0" bestFit="1" customWidth="1"/>
    <col min="26" max="26" width="6.140625" style="0" bestFit="1" customWidth="1"/>
    <col min="27" max="27" width="5.00390625" style="0" bestFit="1" customWidth="1"/>
    <col min="28" max="28" width="6.140625" style="0" bestFit="1" customWidth="1"/>
    <col min="29" max="29" width="6.28125" style="0" bestFit="1" customWidth="1"/>
    <col min="30" max="30" width="8.421875" style="0" bestFit="1" customWidth="1"/>
    <col min="31" max="31" width="6.140625" style="0" bestFit="1" customWidth="1"/>
    <col min="32" max="32" width="5.00390625" style="0" bestFit="1" customWidth="1"/>
    <col min="33" max="33" width="6.140625" style="0" bestFit="1" customWidth="1"/>
    <col min="34" max="34" width="6.28125" style="0" bestFit="1" customWidth="1"/>
    <col min="35" max="35" width="8.421875" style="0" bestFit="1" customWidth="1"/>
    <col min="36" max="36" width="6.140625" style="0" bestFit="1" customWidth="1"/>
    <col min="37" max="37" width="5.00390625" style="0" bestFit="1" customWidth="1"/>
    <col min="38" max="38" width="6.140625" style="0" bestFit="1" customWidth="1"/>
    <col min="39" max="39" width="6.28125" style="0" bestFit="1" customWidth="1"/>
    <col min="40" max="40" width="8.421875" style="0" bestFit="1" customWidth="1"/>
    <col min="41" max="41" width="6.140625" style="0" bestFit="1" customWidth="1"/>
    <col min="42" max="42" width="5.00390625" style="0" bestFit="1" customWidth="1"/>
    <col min="43" max="43" width="6.140625" style="0" bestFit="1" customWidth="1"/>
    <col min="44" max="44" width="6.28125" style="0" bestFit="1" customWidth="1"/>
    <col min="45" max="45" width="8.421875" style="0" bestFit="1" customWidth="1"/>
    <col min="46" max="46" width="6.140625" style="0" bestFit="1" customWidth="1"/>
    <col min="47" max="47" width="5.00390625" style="0" bestFit="1" customWidth="1"/>
    <col min="48" max="48" width="6.140625" style="0" bestFit="1" customWidth="1"/>
    <col min="49" max="49" width="6.28125" style="0" bestFit="1" customWidth="1"/>
    <col min="50" max="50" width="8.421875" style="0" bestFit="1" customWidth="1"/>
    <col min="51" max="51" width="6.140625" style="0" bestFit="1" customWidth="1"/>
    <col min="52" max="52" width="5.00390625" style="0" bestFit="1" customWidth="1"/>
    <col min="53" max="53" width="6.140625" style="0" bestFit="1" customWidth="1"/>
    <col min="54" max="54" width="6.28125" style="0" bestFit="1" customWidth="1"/>
    <col min="55" max="55" width="8.421875" style="0" bestFit="1" customWidth="1"/>
    <col min="56" max="56" width="6.140625" style="0" bestFit="1" customWidth="1"/>
    <col min="57" max="57" width="5.00390625" style="0" bestFit="1" customWidth="1"/>
    <col min="58" max="58" width="6.140625" style="0" bestFit="1" customWidth="1"/>
    <col min="59" max="59" width="6.28125" style="0" bestFit="1" customWidth="1"/>
    <col min="60" max="60" width="8.421875" style="0" bestFit="1" customWidth="1"/>
    <col min="61" max="61" width="6.140625" style="0" bestFit="1" customWidth="1"/>
    <col min="62" max="62" width="5.00390625" style="0" bestFit="1" customWidth="1"/>
    <col min="63" max="63" width="6.140625" style="0" bestFit="1" customWidth="1"/>
    <col min="64" max="64" width="6.28125" style="0" bestFit="1" customWidth="1"/>
    <col min="65" max="65" width="8.421875" style="0" bestFit="1" customWidth="1"/>
    <col min="66" max="66" width="6.140625" style="0" bestFit="1" customWidth="1"/>
    <col min="67" max="67" width="5.00390625" style="0" bestFit="1" customWidth="1"/>
    <col min="68" max="68" width="6.140625" style="0" bestFit="1" customWidth="1"/>
    <col min="69" max="69" width="6.28125" style="0" bestFit="1" customWidth="1"/>
    <col min="70" max="70" width="8.421875" style="0" bestFit="1" customWidth="1"/>
    <col min="71" max="71" width="6.140625" style="0" bestFit="1" customWidth="1"/>
    <col min="72" max="72" width="5.00390625" style="0" bestFit="1" customWidth="1"/>
    <col min="73" max="73" width="6.140625" style="0" bestFit="1" customWidth="1"/>
    <col min="74" max="74" width="6.28125" style="0" bestFit="1" customWidth="1"/>
    <col min="75" max="75" width="8.421875" style="0" bestFit="1" customWidth="1"/>
    <col min="76" max="76" width="6.140625" style="0" bestFit="1" customWidth="1"/>
    <col min="77" max="77" width="5.00390625" style="0" bestFit="1" customWidth="1"/>
    <col min="78" max="78" width="6.140625" style="0" bestFit="1" customWidth="1"/>
    <col min="79" max="79" width="6.28125" style="0" bestFit="1" customWidth="1"/>
    <col min="80" max="80" width="8.421875" style="0" bestFit="1" customWidth="1"/>
    <col min="81" max="81" width="6.140625" style="0" bestFit="1" customWidth="1"/>
    <col min="82" max="82" width="5.00390625" style="0" bestFit="1" customWidth="1"/>
    <col min="83" max="83" width="6.140625" style="0" bestFit="1" customWidth="1"/>
    <col min="84" max="84" width="6.28125" style="0" bestFit="1" customWidth="1"/>
    <col min="85" max="85" width="8.421875" style="0" bestFit="1" customWidth="1"/>
    <col min="86" max="86" width="6.140625" style="0" bestFit="1" customWidth="1"/>
    <col min="87" max="87" width="5.00390625" style="0" bestFit="1" customWidth="1"/>
    <col min="88" max="88" width="6.140625" style="0" bestFit="1" customWidth="1"/>
    <col min="89" max="89" width="6.28125" style="0" bestFit="1" customWidth="1"/>
    <col min="90" max="90" width="8.421875" style="0" bestFit="1" customWidth="1"/>
    <col min="91" max="91" width="6.140625" style="0" bestFit="1" customWidth="1"/>
    <col min="92" max="92" width="5.00390625" style="0" bestFit="1" customWidth="1"/>
    <col min="93" max="93" width="6.140625" style="0" bestFit="1" customWidth="1"/>
    <col min="94" max="94" width="6.28125" style="0" bestFit="1" customWidth="1"/>
    <col min="95" max="95" width="8.421875" style="0" bestFit="1" customWidth="1"/>
    <col min="96" max="96" width="6.140625" style="0" bestFit="1" customWidth="1"/>
    <col min="97" max="97" width="5.00390625" style="0" bestFit="1" customWidth="1"/>
    <col min="98" max="98" width="6.140625" style="0" bestFit="1" customWidth="1"/>
    <col min="99" max="99" width="6.28125" style="0" bestFit="1" customWidth="1"/>
    <col min="100" max="100" width="8.421875" style="0" bestFit="1" customWidth="1"/>
    <col min="101" max="101" width="6.140625" style="0" bestFit="1" customWidth="1"/>
    <col min="102" max="102" width="5.00390625" style="0" bestFit="1" customWidth="1"/>
    <col min="103" max="103" width="6.140625" style="0" bestFit="1" customWidth="1"/>
    <col min="104" max="104" width="6.28125" style="0" bestFit="1" customWidth="1"/>
    <col min="105" max="105" width="8.28125" style="0" bestFit="1" customWidth="1"/>
    <col min="106" max="106" width="6.140625" style="0" bestFit="1" customWidth="1"/>
    <col min="107" max="107" width="5.00390625" style="0" bestFit="1" customWidth="1"/>
    <col min="108" max="108" width="6.140625" style="0" bestFit="1" customWidth="1"/>
    <col min="109" max="109" width="6.28125" style="0" bestFit="1" customWidth="1"/>
    <col min="110" max="110" width="8.28125" style="0" bestFit="1" customWidth="1"/>
    <col min="111" max="111" width="6.140625" style="0" bestFit="1" customWidth="1"/>
    <col min="112" max="112" width="5.00390625" style="0" bestFit="1" customWidth="1"/>
    <col min="113" max="113" width="6.140625" style="0" bestFit="1" customWidth="1"/>
    <col min="114" max="114" width="6.28125" style="0" bestFit="1" customWidth="1"/>
    <col min="115" max="115" width="8.28125" style="0" bestFit="1" customWidth="1"/>
    <col min="116" max="116" width="6.140625" style="0" bestFit="1" customWidth="1"/>
    <col min="117" max="117" width="5.00390625" style="0" bestFit="1" customWidth="1"/>
    <col min="118" max="118" width="6.140625" style="0" bestFit="1" customWidth="1"/>
    <col min="119" max="119" width="6.28125" style="0" bestFit="1" customWidth="1"/>
    <col min="120" max="120" width="8.28125" style="0" bestFit="1" customWidth="1"/>
    <col min="121" max="121" width="6.140625" style="0" bestFit="1" customWidth="1"/>
    <col min="122" max="122" width="5.00390625" style="0" bestFit="1" customWidth="1"/>
    <col min="123" max="123" width="6.140625" style="0" bestFit="1" customWidth="1"/>
    <col min="124" max="124" width="6.28125" style="0" bestFit="1" customWidth="1"/>
    <col min="125" max="125" width="8.28125" style="0" bestFit="1" customWidth="1"/>
    <col min="126" max="126" width="6.140625" style="0" bestFit="1" customWidth="1"/>
    <col min="127" max="127" width="5.00390625" style="0" bestFit="1" customWidth="1"/>
    <col min="128" max="128" width="6.140625" style="0" bestFit="1" customWidth="1"/>
    <col min="129" max="129" width="6.28125" style="0" bestFit="1" customWidth="1"/>
    <col min="130" max="130" width="8.28125" style="0" bestFit="1" customWidth="1"/>
    <col min="131" max="131" width="6.140625" style="0" bestFit="1" customWidth="1"/>
    <col min="132" max="132" width="5.00390625" style="0" bestFit="1" customWidth="1"/>
    <col min="133" max="133" width="6.140625" style="0" bestFit="1" customWidth="1"/>
    <col min="134" max="134" width="6.28125" style="0" bestFit="1" customWidth="1"/>
    <col min="135" max="135" width="8.28125" style="0" bestFit="1" customWidth="1"/>
    <col min="136" max="136" width="6.140625" style="0" bestFit="1" customWidth="1"/>
    <col min="137" max="137" width="5.00390625" style="0" bestFit="1" customWidth="1"/>
    <col min="138" max="138" width="6.140625" style="0" bestFit="1" customWidth="1"/>
    <col min="139" max="139" width="6.28125" style="0" bestFit="1" customWidth="1"/>
    <col min="140" max="140" width="8.28125" style="0" bestFit="1" customWidth="1"/>
    <col min="141" max="141" width="6.140625" style="0" bestFit="1" customWidth="1"/>
    <col min="142" max="142" width="5.00390625" style="0" bestFit="1" customWidth="1"/>
    <col min="143" max="143" width="6.140625" style="0" bestFit="1" customWidth="1"/>
    <col min="144" max="144" width="6.28125" style="0" bestFit="1" customWidth="1"/>
    <col min="145" max="145" width="8.28125" style="0" bestFit="1" customWidth="1"/>
    <col min="146" max="146" width="6.140625" style="0" bestFit="1" customWidth="1"/>
    <col min="147" max="147" width="5.00390625" style="0" bestFit="1" customWidth="1"/>
    <col min="148" max="148" width="6.140625" style="0" bestFit="1" customWidth="1"/>
    <col min="149" max="149" width="6.28125" style="0" bestFit="1" customWidth="1"/>
    <col min="150" max="150" width="8.28125" style="0" bestFit="1" customWidth="1"/>
    <col min="151" max="151" width="6.140625" style="0" bestFit="1" customWidth="1"/>
    <col min="152" max="152" width="5.00390625" style="0" bestFit="1" customWidth="1"/>
    <col min="153" max="153" width="6.140625" style="0" bestFit="1" customWidth="1"/>
    <col min="154" max="154" width="6.28125" style="0" bestFit="1" customWidth="1"/>
    <col min="155" max="155" width="8.28125" style="0" bestFit="1" customWidth="1"/>
    <col min="156" max="156" width="6.140625" style="0" bestFit="1" customWidth="1"/>
    <col min="157" max="157" width="5.00390625" style="0" bestFit="1" customWidth="1"/>
    <col min="158" max="158" width="6.140625" style="0" bestFit="1" customWidth="1"/>
    <col min="159" max="159" width="6.28125" style="0" bestFit="1" customWidth="1"/>
    <col min="160" max="160" width="8.28125" style="0" bestFit="1" customWidth="1"/>
    <col min="161" max="16384" width="3.7109375" style="0" customWidth="1"/>
  </cols>
  <sheetData>
    <row r="1" spans="1:135" ht="21.75">
      <c r="A1" s="503" t="s">
        <v>71</v>
      </c>
      <c r="B1" s="504"/>
      <c r="C1" s="504"/>
      <c r="D1" s="504"/>
      <c r="E1" s="505"/>
      <c r="F1" s="500" t="s">
        <v>76</v>
      </c>
      <c r="G1" s="501"/>
      <c r="H1" s="501"/>
      <c r="I1" s="501"/>
      <c r="J1" s="502"/>
      <c r="K1" s="500" t="s">
        <v>78</v>
      </c>
      <c r="L1" s="501"/>
      <c r="M1" s="501"/>
      <c r="N1" s="501"/>
      <c r="O1" s="502"/>
      <c r="P1" s="506" t="s">
        <v>79</v>
      </c>
      <c r="Q1" s="507"/>
      <c r="R1" s="507"/>
      <c r="S1" s="507"/>
      <c r="T1" s="508"/>
      <c r="U1" s="500" t="s">
        <v>80</v>
      </c>
      <c r="V1" s="501"/>
      <c r="W1" s="501"/>
      <c r="X1" s="501"/>
      <c r="Y1" s="501"/>
      <c r="Z1" s="500" t="s">
        <v>81</v>
      </c>
      <c r="AA1" s="501"/>
      <c r="AB1" s="501"/>
      <c r="AC1" s="501"/>
      <c r="AD1" s="501"/>
      <c r="AE1" s="500" t="s">
        <v>82</v>
      </c>
      <c r="AF1" s="501"/>
      <c r="AG1" s="501"/>
      <c r="AH1" s="501"/>
      <c r="AI1" s="501"/>
      <c r="AJ1" s="509" t="s">
        <v>83</v>
      </c>
      <c r="AK1" s="510"/>
      <c r="AL1" s="510"/>
      <c r="AM1" s="510"/>
      <c r="AN1" s="510"/>
      <c r="AO1" s="500" t="s">
        <v>84</v>
      </c>
      <c r="AP1" s="501"/>
      <c r="AQ1" s="501"/>
      <c r="AR1" s="501"/>
      <c r="AS1" s="501"/>
      <c r="AT1" s="500" t="s">
        <v>85</v>
      </c>
      <c r="AU1" s="501"/>
      <c r="AV1" s="501"/>
      <c r="AW1" s="501"/>
      <c r="AX1" s="502"/>
      <c r="AY1" s="509" t="s">
        <v>86</v>
      </c>
      <c r="AZ1" s="510"/>
      <c r="BA1" s="510"/>
      <c r="BB1" s="510"/>
      <c r="BC1" s="511"/>
      <c r="BD1" s="500" t="s">
        <v>87</v>
      </c>
      <c r="BE1" s="501"/>
      <c r="BF1" s="501"/>
      <c r="BG1" s="501"/>
      <c r="BH1" s="502"/>
      <c r="BI1" s="500" t="s">
        <v>88</v>
      </c>
      <c r="BJ1" s="501"/>
      <c r="BK1" s="501"/>
      <c r="BL1" s="501"/>
      <c r="BM1" s="501"/>
      <c r="BN1" s="500" t="s">
        <v>90</v>
      </c>
      <c r="BO1" s="501"/>
      <c r="BP1" s="501"/>
      <c r="BQ1" s="501"/>
      <c r="BR1" s="501"/>
      <c r="BS1" s="500" t="s">
        <v>91</v>
      </c>
      <c r="BT1" s="501"/>
      <c r="BU1" s="501"/>
      <c r="BV1" s="501"/>
      <c r="BW1" s="501"/>
      <c r="BX1" s="500" t="s">
        <v>92</v>
      </c>
      <c r="BY1" s="501"/>
      <c r="BZ1" s="501"/>
      <c r="CA1" s="501"/>
      <c r="CB1" s="502"/>
      <c r="CC1" s="500" t="s">
        <v>97</v>
      </c>
      <c r="CD1" s="501"/>
      <c r="CE1" s="501"/>
      <c r="CF1" s="501"/>
      <c r="CG1" s="502"/>
      <c r="CH1" s="500" t="s">
        <v>98</v>
      </c>
      <c r="CI1" s="501"/>
      <c r="CJ1" s="501"/>
      <c r="CK1" s="501"/>
      <c r="CL1" s="502"/>
      <c r="CM1" s="500" t="s">
        <v>99</v>
      </c>
      <c r="CN1" s="501"/>
      <c r="CO1" s="501"/>
      <c r="CP1" s="501"/>
      <c r="CQ1" s="502"/>
      <c r="CR1" s="500" t="s">
        <v>101</v>
      </c>
      <c r="CS1" s="501"/>
      <c r="CT1" s="501"/>
      <c r="CU1" s="501"/>
      <c r="CV1" s="502"/>
      <c r="CW1" s="500" t="s">
        <v>102</v>
      </c>
      <c r="CX1" s="501"/>
      <c r="CY1" s="501"/>
      <c r="CZ1" s="501"/>
      <c r="DA1" s="502"/>
      <c r="DB1" s="500" t="s">
        <v>103</v>
      </c>
      <c r="DC1" s="501"/>
      <c r="DD1" s="501"/>
      <c r="DE1" s="501"/>
      <c r="DF1" s="502"/>
      <c r="DG1" s="500" t="s">
        <v>104</v>
      </c>
      <c r="DH1" s="501"/>
      <c r="DI1" s="501"/>
      <c r="DJ1" s="501"/>
      <c r="DK1" s="502"/>
      <c r="DL1" s="500" t="s">
        <v>105</v>
      </c>
      <c r="DM1" s="501"/>
      <c r="DN1" s="501"/>
      <c r="DO1" s="501"/>
      <c r="DP1" s="502"/>
      <c r="DQ1" s="500" t="s">
        <v>106</v>
      </c>
      <c r="DR1" s="501"/>
      <c r="DS1" s="501"/>
      <c r="DT1" s="501"/>
      <c r="DU1" s="502"/>
      <c r="DV1" s="500" t="s">
        <v>107</v>
      </c>
      <c r="DW1" s="501"/>
      <c r="DX1" s="501"/>
      <c r="DY1" s="501"/>
      <c r="DZ1" s="502"/>
      <c r="EA1" s="500" t="s">
        <v>108</v>
      </c>
      <c r="EB1" s="501"/>
      <c r="EC1" s="501"/>
      <c r="ED1" s="501"/>
      <c r="EE1" s="502"/>
    </row>
    <row r="2" spans="1:256" s="407" customFormat="1" ht="12.75">
      <c r="A2" s="404" t="s">
        <v>93</v>
      </c>
      <c r="B2" s="405" t="s">
        <v>94</v>
      </c>
      <c r="C2" s="405" t="s">
        <v>95</v>
      </c>
      <c r="D2" s="405" t="s">
        <v>12</v>
      </c>
      <c r="E2" s="406" t="s">
        <v>96</v>
      </c>
      <c r="F2" s="404" t="s">
        <v>93</v>
      </c>
      <c r="G2" s="405" t="s">
        <v>94</v>
      </c>
      <c r="H2" s="405" t="s">
        <v>95</v>
      </c>
      <c r="I2" s="405" t="s">
        <v>12</v>
      </c>
      <c r="J2" s="406" t="s">
        <v>96</v>
      </c>
      <c r="K2" s="404" t="s">
        <v>93</v>
      </c>
      <c r="L2" s="405" t="s">
        <v>94</v>
      </c>
      <c r="M2" s="405" t="s">
        <v>95</v>
      </c>
      <c r="N2" s="405" t="s">
        <v>12</v>
      </c>
      <c r="O2" s="406" t="s">
        <v>96</v>
      </c>
      <c r="P2" s="404" t="s">
        <v>93</v>
      </c>
      <c r="Q2" s="405" t="s">
        <v>94</v>
      </c>
      <c r="R2" s="405" t="s">
        <v>95</v>
      </c>
      <c r="S2" s="405" t="s">
        <v>12</v>
      </c>
      <c r="T2" s="406" t="s">
        <v>96</v>
      </c>
      <c r="U2" s="404" t="s">
        <v>93</v>
      </c>
      <c r="V2" s="405" t="s">
        <v>94</v>
      </c>
      <c r="W2" s="405" t="s">
        <v>95</v>
      </c>
      <c r="X2" s="405" t="s">
        <v>12</v>
      </c>
      <c r="Y2" s="406" t="s">
        <v>96</v>
      </c>
      <c r="Z2" s="404" t="s">
        <v>93</v>
      </c>
      <c r="AA2" s="405" t="s">
        <v>94</v>
      </c>
      <c r="AB2" s="405" t="s">
        <v>95</v>
      </c>
      <c r="AC2" s="405" t="s">
        <v>12</v>
      </c>
      <c r="AD2" s="406" t="s">
        <v>96</v>
      </c>
      <c r="AE2" s="404" t="s">
        <v>93</v>
      </c>
      <c r="AF2" s="405" t="s">
        <v>94</v>
      </c>
      <c r="AG2" s="405" t="s">
        <v>95</v>
      </c>
      <c r="AH2" s="405" t="s">
        <v>12</v>
      </c>
      <c r="AI2" s="406" t="s">
        <v>96</v>
      </c>
      <c r="AJ2" s="404" t="s">
        <v>93</v>
      </c>
      <c r="AK2" s="405" t="s">
        <v>94</v>
      </c>
      <c r="AL2" s="405" t="s">
        <v>95</v>
      </c>
      <c r="AM2" s="405" t="s">
        <v>12</v>
      </c>
      <c r="AN2" s="406" t="s">
        <v>96</v>
      </c>
      <c r="AO2" s="404" t="s">
        <v>93</v>
      </c>
      <c r="AP2" s="405" t="s">
        <v>94</v>
      </c>
      <c r="AQ2" s="405" t="s">
        <v>95</v>
      </c>
      <c r="AR2" s="405" t="s">
        <v>12</v>
      </c>
      <c r="AS2" s="406" t="s">
        <v>96</v>
      </c>
      <c r="AT2" s="404" t="s">
        <v>93</v>
      </c>
      <c r="AU2" s="405" t="s">
        <v>94</v>
      </c>
      <c r="AV2" s="405" t="s">
        <v>95</v>
      </c>
      <c r="AW2" s="405" t="s">
        <v>12</v>
      </c>
      <c r="AX2" s="406" t="s">
        <v>96</v>
      </c>
      <c r="AY2" s="404" t="s">
        <v>93</v>
      </c>
      <c r="AZ2" s="405" t="s">
        <v>94</v>
      </c>
      <c r="BA2" s="405" t="s">
        <v>95</v>
      </c>
      <c r="BB2" s="405" t="s">
        <v>12</v>
      </c>
      <c r="BC2" s="406" t="s">
        <v>96</v>
      </c>
      <c r="BD2" s="404" t="s">
        <v>93</v>
      </c>
      <c r="BE2" s="405" t="s">
        <v>94</v>
      </c>
      <c r="BF2" s="405" t="s">
        <v>95</v>
      </c>
      <c r="BG2" s="405" t="s">
        <v>12</v>
      </c>
      <c r="BH2" s="406" t="s">
        <v>96</v>
      </c>
      <c r="BI2" s="404" t="s">
        <v>93</v>
      </c>
      <c r="BJ2" s="405" t="s">
        <v>94</v>
      </c>
      <c r="BK2" s="405" t="s">
        <v>95</v>
      </c>
      <c r="BL2" s="405" t="s">
        <v>12</v>
      </c>
      <c r="BM2" s="406" t="s">
        <v>96</v>
      </c>
      <c r="BN2" s="404" t="s">
        <v>93</v>
      </c>
      <c r="BO2" s="405" t="s">
        <v>94</v>
      </c>
      <c r="BP2" s="405" t="s">
        <v>95</v>
      </c>
      <c r="BQ2" s="405" t="s">
        <v>12</v>
      </c>
      <c r="BR2" s="406" t="s">
        <v>96</v>
      </c>
      <c r="BS2" s="404" t="s">
        <v>93</v>
      </c>
      <c r="BT2" s="405" t="s">
        <v>94</v>
      </c>
      <c r="BU2" s="405" t="s">
        <v>95</v>
      </c>
      <c r="BV2" s="405" t="s">
        <v>12</v>
      </c>
      <c r="BW2" s="406" t="s">
        <v>96</v>
      </c>
      <c r="BX2" s="404" t="s">
        <v>93</v>
      </c>
      <c r="BY2" s="405" t="s">
        <v>94</v>
      </c>
      <c r="BZ2" s="405" t="s">
        <v>95</v>
      </c>
      <c r="CA2" s="405" t="s">
        <v>12</v>
      </c>
      <c r="CB2" s="406" t="s">
        <v>96</v>
      </c>
      <c r="CC2" s="404" t="s">
        <v>93</v>
      </c>
      <c r="CD2" s="405" t="s">
        <v>94</v>
      </c>
      <c r="CE2" s="405" t="s">
        <v>95</v>
      </c>
      <c r="CF2" s="405" t="s">
        <v>12</v>
      </c>
      <c r="CG2" s="406" t="s">
        <v>96</v>
      </c>
      <c r="CH2" s="404" t="s">
        <v>93</v>
      </c>
      <c r="CI2" s="405" t="s">
        <v>94</v>
      </c>
      <c r="CJ2" s="405" t="s">
        <v>95</v>
      </c>
      <c r="CK2" s="405" t="s">
        <v>12</v>
      </c>
      <c r="CL2" s="406" t="s">
        <v>96</v>
      </c>
      <c r="CM2" s="404" t="s">
        <v>93</v>
      </c>
      <c r="CN2" s="405" t="s">
        <v>94</v>
      </c>
      <c r="CO2" s="405" t="s">
        <v>95</v>
      </c>
      <c r="CP2" s="405" t="s">
        <v>12</v>
      </c>
      <c r="CQ2" s="406" t="s">
        <v>96</v>
      </c>
      <c r="CR2" s="404" t="s">
        <v>93</v>
      </c>
      <c r="CS2" s="405" t="s">
        <v>94</v>
      </c>
      <c r="CT2" s="405" t="s">
        <v>95</v>
      </c>
      <c r="CU2" s="405" t="s">
        <v>12</v>
      </c>
      <c r="CV2" s="406" t="s">
        <v>96</v>
      </c>
      <c r="CW2" s="404" t="s">
        <v>93</v>
      </c>
      <c r="CX2" s="405" t="s">
        <v>94</v>
      </c>
      <c r="CY2" s="405" t="s">
        <v>95</v>
      </c>
      <c r="CZ2" s="405" t="s">
        <v>12</v>
      </c>
      <c r="DA2" s="406" t="s">
        <v>96</v>
      </c>
      <c r="DB2" s="404" t="s">
        <v>93</v>
      </c>
      <c r="DC2" s="405" t="s">
        <v>94</v>
      </c>
      <c r="DD2" s="405" t="s">
        <v>95</v>
      </c>
      <c r="DE2" s="405" t="s">
        <v>12</v>
      </c>
      <c r="DF2" s="406" t="s">
        <v>96</v>
      </c>
      <c r="DG2" s="404" t="s">
        <v>93</v>
      </c>
      <c r="DH2" s="405" t="s">
        <v>94</v>
      </c>
      <c r="DI2" s="405" t="s">
        <v>95</v>
      </c>
      <c r="DJ2" s="405" t="s">
        <v>12</v>
      </c>
      <c r="DK2" s="406" t="s">
        <v>96</v>
      </c>
      <c r="DL2" s="404" t="s">
        <v>93</v>
      </c>
      <c r="DM2" s="405" t="s">
        <v>94</v>
      </c>
      <c r="DN2" s="405" t="s">
        <v>95</v>
      </c>
      <c r="DO2" s="405" t="s">
        <v>12</v>
      </c>
      <c r="DP2" s="406" t="s">
        <v>96</v>
      </c>
      <c r="DQ2" s="404" t="s">
        <v>93</v>
      </c>
      <c r="DR2" s="405" t="s">
        <v>94</v>
      </c>
      <c r="DS2" s="405" t="s">
        <v>95</v>
      </c>
      <c r="DT2" s="405" t="s">
        <v>12</v>
      </c>
      <c r="DU2" s="406" t="s">
        <v>96</v>
      </c>
      <c r="DV2" s="404" t="s">
        <v>93</v>
      </c>
      <c r="DW2" s="405" t="s">
        <v>94</v>
      </c>
      <c r="DX2" s="405" t="s">
        <v>95</v>
      </c>
      <c r="DY2" s="405" t="s">
        <v>12</v>
      </c>
      <c r="DZ2" s="406" t="s">
        <v>96</v>
      </c>
      <c r="EA2" s="404" t="s">
        <v>93</v>
      </c>
      <c r="EB2" s="405" t="s">
        <v>94</v>
      </c>
      <c r="EC2" s="405" t="s">
        <v>95</v>
      </c>
      <c r="ED2" s="405" t="s">
        <v>12</v>
      </c>
      <c r="EE2" s="406" t="s">
        <v>96</v>
      </c>
      <c r="EF2" s="512"/>
      <c r="EG2" s="512"/>
      <c r="EH2" s="512"/>
      <c r="EI2" s="512"/>
      <c r="EJ2" s="512"/>
      <c r="EK2" s="512"/>
      <c r="EL2" s="512"/>
      <c r="EM2" s="512"/>
      <c r="EN2" s="512"/>
      <c r="EO2" s="512"/>
      <c r="EP2" s="512"/>
      <c r="EQ2" s="512"/>
      <c r="ER2" s="512"/>
      <c r="ES2" s="512"/>
      <c r="ET2" s="512"/>
      <c r="EU2" s="512"/>
      <c r="EV2" s="512"/>
      <c r="EW2" s="512"/>
      <c r="EX2" s="512"/>
      <c r="EY2" s="512"/>
      <c r="EZ2" s="512"/>
      <c r="FA2" s="512"/>
      <c r="FB2" s="512"/>
      <c r="FC2" s="512"/>
      <c r="FD2" s="512"/>
      <c r="FE2" s="512"/>
      <c r="FF2" s="512"/>
      <c r="FG2" s="512"/>
      <c r="FH2" s="512"/>
      <c r="FI2" s="512"/>
      <c r="FJ2" s="512"/>
      <c r="FK2" s="512"/>
      <c r="FL2" s="512"/>
      <c r="FM2" s="512"/>
      <c r="FN2" s="512"/>
      <c r="FO2" s="512"/>
      <c r="FP2" s="512"/>
      <c r="FQ2" s="512"/>
      <c r="FR2" s="512"/>
      <c r="FS2" s="512"/>
      <c r="FT2" s="512"/>
      <c r="FU2" s="512"/>
      <c r="FV2" s="512"/>
      <c r="FW2" s="512"/>
      <c r="FX2" s="512"/>
      <c r="FY2" s="512"/>
      <c r="FZ2" s="512"/>
      <c r="GA2" s="512"/>
      <c r="GB2" s="512"/>
      <c r="GC2" s="512"/>
      <c r="GD2" s="512"/>
      <c r="GE2" s="512"/>
      <c r="GF2" s="512"/>
      <c r="GG2" s="512"/>
      <c r="GH2" s="512"/>
      <c r="GI2" s="512"/>
      <c r="GJ2" s="512"/>
      <c r="GK2" s="512"/>
      <c r="GL2" s="512"/>
      <c r="GM2" s="512"/>
      <c r="GN2" s="512"/>
      <c r="GO2" s="512"/>
      <c r="GP2" s="512"/>
      <c r="GQ2" s="512"/>
      <c r="GR2" s="512"/>
      <c r="GS2" s="512"/>
      <c r="GT2" s="512"/>
      <c r="GU2" s="512"/>
      <c r="GV2" s="512"/>
      <c r="GW2" s="512"/>
      <c r="GX2" s="512"/>
      <c r="GY2" s="512"/>
      <c r="GZ2" s="512"/>
      <c r="HA2" s="512"/>
      <c r="HB2" s="512"/>
      <c r="HC2" s="512"/>
      <c r="HD2" s="512"/>
      <c r="HE2" s="512"/>
      <c r="HF2" s="512"/>
      <c r="HG2" s="512"/>
      <c r="HH2" s="512"/>
      <c r="HI2" s="512"/>
      <c r="HJ2" s="512"/>
      <c r="HK2" s="512"/>
      <c r="HL2" s="512"/>
      <c r="HM2" s="512"/>
      <c r="HN2" s="512"/>
      <c r="HO2" s="512"/>
      <c r="HP2" s="512"/>
      <c r="HQ2" s="512"/>
      <c r="HR2" s="512"/>
      <c r="HS2" s="512"/>
      <c r="HT2" s="512"/>
      <c r="HU2" s="512"/>
      <c r="HV2" s="512"/>
      <c r="HW2" s="512"/>
      <c r="HX2" s="512"/>
      <c r="HY2" s="512"/>
      <c r="HZ2" s="512"/>
      <c r="IA2" s="512"/>
      <c r="IB2" s="512"/>
      <c r="IC2" s="512"/>
      <c r="ID2" s="512"/>
      <c r="IE2" s="512"/>
      <c r="IF2" s="512"/>
      <c r="IG2" s="512"/>
      <c r="IH2" s="512"/>
      <c r="II2" s="512"/>
      <c r="IJ2" s="512"/>
      <c r="IK2" s="512"/>
      <c r="IL2" s="512"/>
      <c r="IM2" s="512"/>
      <c r="IN2" s="512"/>
      <c r="IO2" s="512"/>
      <c r="IP2" s="512"/>
      <c r="IQ2" s="512"/>
      <c r="IR2" s="512"/>
      <c r="IS2" s="512"/>
      <c r="IT2" s="512"/>
      <c r="IU2" s="512"/>
      <c r="IV2" s="512"/>
    </row>
    <row r="3" spans="1:135" s="463" customFormat="1" ht="21.75">
      <c r="A3" s="458"/>
      <c r="B3" s="459"/>
      <c r="C3" s="459"/>
      <c r="D3" s="459"/>
      <c r="E3" s="460"/>
      <c r="F3" s="317"/>
      <c r="G3" s="309"/>
      <c r="H3" s="309"/>
      <c r="I3" s="309"/>
      <c r="J3" s="318"/>
      <c r="K3" s="447"/>
      <c r="L3" s="309"/>
      <c r="M3" s="309"/>
      <c r="N3" s="309"/>
      <c r="O3" s="318"/>
      <c r="P3" s="461"/>
      <c r="Q3" s="309"/>
      <c r="R3" s="309"/>
      <c r="S3" s="309"/>
      <c r="T3" s="462"/>
      <c r="U3" s="447"/>
      <c r="V3" s="309"/>
      <c r="W3" s="309"/>
      <c r="X3" s="309"/>
      <c r="Y3" s="462"/>
      <c r="Z3" s="447"/>
      <c r="AA3" s="309"/>
      <c r="AB3" s="309"/>
      <c r="AC3" s="309"/>
      <c r="AD3" s="462"/>
      <c r="AE3" s="447"/>
      <c r="AF3" s="309"/>
      <c r="AG3" s="309"/>
      <c r="AH3" s="309"/>
      <c r="AI3" s="462"/>
      <c r="AJ3" s="447"/>
      <c r="AK3" s="309"/>
      <c r="AL3" s="309"/>
      <c r="AM3" s="309"/>
      <c r="AN3" s="462"/>
      <c r="AO3" s="447"/>
      <c r="AP3" s="309"/>
      <c r="AQ3" s="309"/>
      <c r="AR3" s="309"/>
      <c r="AS3" s="462"/>
      <c r="AT3" s="447"/>
      <c r="AU3" s="309"/>
      <c r="AV3" s="309"/>
      <c r="AW3" s="309"/>
      <c r="AX3" s="318"/>
      <c r="AY3" s="447"/>
      <c r="AZ3" s="309"/>
      <c r="BA3" s="309"/>
      <c r="BB3" s="309"/>
      <c r="BC3" s="318"/>
      <c r="BD3" s="447"/>
      <c r="BE3" s="309"/>
      <c r="BF3" s="309"/>
      <c r="BG3" s="309"/>
      <c r="BH3" s="318"/>
      <c r="BI3" s="447"/>
      <c r="BJ3" s="309"/>
      <c r="BK3" s="309"/>
      <c r="BL3" s="309"/>
      <c r="BM3" s="462"/>
      <c r="BN3" s="447"/>
      <c r="BO3" s="309"/>
      <c r="BP3" s="309"/>
      <c r="BQ3" s="309"/>
      <c r="BR3" s="462"/>
      <c r="BS3" s="447"/>
      <c r="BT3" s="309"/>
      <c r="BU3" s="309"/>
      <c r="BV3" s="309"/>
      <c r="BW3" s="462"/>
      <c r="BX3" s="447"/>
      <c r="BY3" s="309"/>
      <c r="BZ3" s="309"/>
      <c r="CA3" s="309"/>
      <c r="CB3" s="318"/>
      <c r="CC3" s="447"/>
      <c r="CD3" s="309"/>
      <c r="CE3" s="309"/>
      <c r="CF3" s="309"/>
      <c r="CG3" s="318"/>
      <c r="CH3" s="447"/>
      <c r="CI3" s="309"/>
      <c r="CJ3" s="309"/>
      <c r="CK3" s="309"/>
      <c r="CL3" s="318"/>
      <c r="CM3" s="447"/>
      <c r="CN3" s="309"/>
      <c r="CO3" s="309"/>
      <c r="CP3" s="309"/>
      <c r="CQ3" s="318"/>
      <c r="CR3" s="447"/>
      <c r="CS3" s="309"/>
      <c r="CT3" s="309"/>
      <c r="CU3" s="309"/>
      <c r="CV3" s="318"/>
      <c r="CW3" s="447"/>
      <c r="CX3" s="309"/>
      <c r="CY3" s="309"/>
      <c r="CZ3" s="309"/>
      <c r="DA3" s="318"/>
      <c r="DB3" s="447" t="s">
        <v>100</v>
      </c>
      <c r="DC3" s="309">
        <v>700</v>
      </c>
      <c r="DD3" s="449">
        <f>y!$I$108/700</f>
        <v>-30.0642</v>
      </c>
      <c r="DE3" s="449">
        <v>30</v>
      </c>
      <c r="DF3" s="448">
        <f>(DE3+DD3)*DC3</f>
        <v>-44.93999999999971</v>
      </c>
      <c r="DG3" s="447" t="s">
        <v>100</v>
      </c>
      <c r="DH3" s="309">
        <v>700</v>
      </c>
      <c r="DI3" s="449">
        <f>y!$I$108/700</f>
        <v>-30.0642</v>
      </c>
      <c r="DJ3" s="449">
        <v>30</v>
      </c>
      <c r="DK3" s="448">
        <f>(DJ3+DI3)*DH3</f>
        <v>-44.93999999999971</v>
      </c>
      <c r="DL3" s="447" t="s">
        <v>100</v>
      </c>
      <c r="DM3" s="309">
        <v>700</v>
      </c>
      <c r="DN3" s="449">
        <f>y!$I$108/700</f>
        <v>-30.0642</v>
      </c>
      <c r="DO3" s="449">
        <v>29</v>
      </c>
      <c r="DP3" s="448">
        <f>(DO3+DN3)*DM3</f>
        <v>-744.9399999999997</v>
      </c>
      <c r="DQ3" s="447"/>
      <c r="DR3" s="309"/>
      <c r="DS3" s="309"/>
      <c r="DT3" s="309"/>
      <c r="DU3" s="318"/>
      <c r="DV3" s="447"/>
      <c r="DW3" s="309"/>
      <c r="DX3" s="309"/>
      <c r="DY3" s="309"/>
      <c r="DZ3" s="318"/>
      <c r="EA3" s="447"/>
      <c r="EB3" s="309"/>
      <c r="EC3" s="309"/>
      <c r="ED3" s="309"/>
      <c r="EE3" s="318"/>
    </row>
    <row r="4" spans="1:135" s="463" customFormat="1" ht="21.75">
      <c r="A4" s="308" t="s">
        <v>37</v>
      </c>
      <c r="B4" s="275">
        <v>800</v>
      </c>
      <c r="C4" s="276">
        <f>(y!I69+y!I70+y!I74)/B4</f>
        <v>-52.7376175</v>
      </c>
      <c r="D4" s="277">
        <v>50.5</v>
      </c>
      <c r="E4" s="288">
        <f>(D4+C4)*B4</f>
        <v>-1790.0939999999991</v>
      </c>
      <c r="F4" s="308" t="s">
        <v>37</v>
      </c>
      <c r="G4" s="275">
        <v>800</v>
      </c>
      <c r="H4" s="276">
        <f>(y!I69+y!I70+y!I74)/G4</f>
        <v>-52.7376175</v>
      </c>
      <c r="I4" s="277">
        <v>53</v>
      </c>
      <c r="J4" s="335">
        <f>(I4+H4)*G4</f>
        <v>209.90600000000086</v>
      </c>
      <c r="K4" s="308" t="s">
        <v>37</v>
      </c>
      <c r="L4" s="275">
        <v>900</v>
      </c>
      <c r="M4" s="276">
        <f>(y!I69+y!I70+y!I74+y!I79)/L4</f>
        <v>-52.50100111111111</v>
      </c>
      <c r="N4" s="277">
        <v>51</v>
      </c>
      <c r="O4" s="288">
        <f>(N4+M4)*L4</f>
        <v>-1350.9009999999976</v>
      </c>
      <c r="P4" s="400" t="s">
        <v>37</v>
      </c>
      <c r="Q4" s="275">
        <v>900</v>
      </c>
      <c r="R4" s="276">
        <f>(y!I69+y!I70+y!I74+y!I79)/L4</f>
        <v>-52.50100111111111</v>
      </c>
      <c r="S4" s="277">
        <v>52</v>
      </c>
      <c r="T4" s="423">
        <f>(S4+R4)*Q4</f>
        <v>-450.9009999999975</v>
      </c>
      <c r="U4" s="308" t="s">
        <v>37</v>
      </c>
      <c r="V4" s="275">
        <v>1100</v>
      </c>
      <c r="W4" s="276">
        <f>(y!I69+y!I70+y!I74+y!I79+y!I84)/V4</f>
        <v>-52.430142727272724</v>
      </c>
      <c r="X4" s="277">
        <v>52</v>
      </c>
      <c r="Y4" s="423">
        <f>(X4+W4)*V4</f>
        <v>-473.15699999999623</v>
      </c>
      <c r="Z4" s="308" t="s">
        <v>37</v>
      </c>
      <c r="AA4" s="275">
        <v>1100</v>
      </c>
      <c r="AB4" s="276">
        <f>(y!I69+y!I70+y!I74+y!I79+y!I84)/AA4</f>
        <v>-52.430142727272724</v>
      </c>
      <c r="AC4" s="277">
        <v>52.5</v>
      </c>
      <c r="AD4" s="355">
        <f>(AC4+AB4)*AA4</f>
        <v>76.84300000000377</v>
      </c>
      <c r="AE4" s="308" t="s">
        <v>37</v>
      </c>
      <c r="AF4" s="275">
        <v>1100</v>
      </c>
      <c r="AG4" s="276">
        <f>(y!I69+y!I70+y!I74+y!I79+y!I84)/AF4</f>
        <v>-52.430142727272724</v>
      </c>
      <c r="AH4" s="277">
        <v>52.5</v>
      </c>
      <c r="AI4" s="355">
        <f>(AH4+AG4)*AF4</f>
        <v>76.84300000000377</v>
      </c>
      <c r="AJ4" s="308" t="s">
        <v>37</v>
      </c>
      <c r="AK4" s="275">
        <v>1100</v>
      </c>
      <c r="AL4" s="276">
        <f>(y!I69+y!I70+y!I74+y!I79+y!I84)/AK4</f>
        <v>-52.430142727272724</v>
      </c>
      <c r="AM4" s="277">
        <v>52.5</v>
      </c>
      <c r="AN4" s="355">
        <f>(AM4+AL4)*AK4</f>
        <v>76.84300000000377</v>
      </c>
      <c r="AO4" s="308" t="s">
        <v>37</v>
      </c>
      <c r="AP4" s="275">
        <v>700</v>
      </c>
      <c r="AQ4" s="276">
        <f>(y!I69+y!I70+y!I74+y!I79+y!I84)/AK4</f>
        <v>-52.430142727272724</v>
      </c>
      <c r="AR4" s="277">
        <v>54.5</v>
      </c>
      <c r="AS4" s="355">
        <f>(AR4+AQ4)*AP4</f>
        <v>1448.9000909090933</v>
      </c>
      <c r="AT4" s="308" t="s">
        <v>37</v>
      </c>
      <c r="AU4" s="275">
        <v>1100</v>
      </c>
      <c r="AV4" s="276">
        <f>((-700*52.43)+(y!I91))/1100</f>
        <v>-52.67851636363637</v>
      </c>
      <c r="AW4" s="277">
        <v>53</v>
      </c>
      <c r="AX4" s="335">
        <f>(AW4+AV4)*AU4</f>
        <v>353.6319999999939</v>
      </c>
      <c r="AY4" s="308" t="s">
        <v>37</v>
      </c>
      <c r="AZ4" s="275">
        <v>300</v>
      </c>
      <c r="BA4" s="276">
        <f>((-700*52.43)+(y!I91))/1100</f>
        <v>-52.67851636363637</v>
      </c>
      <c r="BB4" s="277">
        <v>54.5</v>
      </c>
      <c r="BC4" s="335">
        <f>(BB4+BA4)*AZ4</f>
        <v>546.4450909090892</v>
      </c>
      <c r="BD4" s="308"/>
      <c r="BE4" s="275"/>
      <c r="BF4" s="276"/>
      <c r="BG4" s="277"/>
      <c r="BH4" s="335"/>
      <c r="BI4" s="308"/>
      <c r="BJ4" s="275"/>
      <c r="BK4" s="276"/>
      <c r="BL4" s="277"/>
      <c r="BM4" s="355"/>
      <c r="BN4" s="308"/>
      <c r="BO4" s="275"/>
      <c r="BP4" s="275"/>
      <c r="BQ4" s="275"/>
      <c r="BR4" s="464"/>
      <c r="BS4" s="308"/>
      <c r="BT4" s="275"/>
      <c r="BU4" s="275"/>
      <c r="BV4" s="275"/>
      <c r="BW4" s="464"/>
      <c r="BX4" s="308"/>
      <c r="BY4" s="275"/>
      <c r="BZ4" s="275"/>
      <c r="CA4" s="275"/>
      <c r="CB4" s="465"/>
      <c r="CC4" s="308"/>
      <c r="CD4" s="275"/>
      <c r="CE4" s="275"/>
      <c r="CF4" s="275"/>
      <c r="CG4" s="465"/>
      <c r="CH4" s="308"/>
      <c r="CI4" s="275"/>
      <c r="CJ4" s="275"/>
      <c r="CK4" s="275"/>
      <c r="CL4" s="465"/>
      <c r="CM4" s="308"/>
      <c r="CN4" s="275"/>
      <c r="CO4" s="275"/>
      <c r="CP4" s="275"/>
      <c r="CQ4" s="465"/>
      <c r="CR4" s="308"/>
      <c r="CS4" s="275"/>
      <c r="CT4" s="275"/>
      <c r="CU4" s="275"/>
      <c r="CV4" s="465"/>
      <c r="CW4" s="308"/>
      <c r="CX4" s="275"/>
      <c r="CY4" s="275"/>
      <c r="CZ4" s="275"/>
      <c r="DA4" s="465"/>
      <c r="DB4" s="308"/>
      <c r="DC4" s="275"/>
      <c r="DD4" s="275"/>
      <c r="DE4" s="275"/>
      <c r="DF4" s="465"/>
      <c r="DG4" s="308"/>
      <c r="DH4" s="275"/>
      <c r="DI4" s="275"/>
      <c r="DJ4" s="275"/>
      <c r="DK4" s="465"/>
      <c r="DL4" s="308"/>
      <c r="DM4" s="275"/>
      <c r="DN4" s="275"/>
      <c r="DO4" s="275"/>
      <c r="DP4" s="465"/>
      <c r="DQ4" s="308"/>
      <c r="DR4" s="275"/>
      <c r="DS4" s="275"/>
      <c r="DT4" s="275"/>
      <c r="DU4" s="465"/>
      <c r="DV4" s="308"/>
      <c r="DW4" s="275"/>
      <c r="DX4" s="275"/>
      <c r="DY4" s="275"/>
      <c r="DZ4" s="465"/>
      <c r="EA4" s="308"/>
      <c r="EB4" s="275"/>
      <c r="EC4" s="275"/>
      <c r="ED4" s="275"/>
      <c r="EE4" s="465"/>
    </row>
    <row r="5" spans="1:135" s="463" customFormat="1" ht="21.75">
      <c r="A5" s="386"/>
      <c r="B5" s="310"/>
      <c r="C5" s="310"/>
      <c r="D5" s="310"/>
      <c r="E5" s="320"/>
      <c r="F5" s="319"/>
      <c r="G5" s="310"/>
      <c r="H5" s="310"/>
      <c r="I5" s="310"/>
      <c r="J5" s="320"/>
      <c r="K5" s="386"/>
      <c r="L5" s="310"/>
      <c r="M5" s="310"/>
      <c r="N5" s="310"/>
      <c r="O5" s="320"/>
      <c r="P5" s="466"/>
      <c r="Q5" s="310"/>
      <c r="R5" s="310"/>
      <c r="S5" s="310"/>
      <c r="T5" s="467"/>
      <c r="U5" s="386"/>
      <c r="V5" s="310"/>
      <c r="W5" s="310"/>
      <c r="X5" s="310"/>
      <c r="Y5" s="467"/>
      <c r="Z5" s="386"/>
      <c r="AA5" s="310"/>
      <c r="AB5" s="310"/>
      <c r="AC5" s="310"/>
      <c r="AD5" s="467"/>
      <c r="AE5" s="386"/>
      <c r="AF5" s="310"/>
      <c r="AG5" s="310"/>
      <c r="AH5" s="310"/>
      <c r="AI5" s="467"/>
      <c r="AJ5" s="386" t="s">
        <v>27</v>
      </c>
      <c r="AK5" s="310">
        <v>600</v>
      </c>
      <c r="AL5" s="384">
        <f>y!I88/AK5</f>
        <v>-47.10058</v>
      </c>
      <c r="AM5" s="385">
        <v>46.5</v>
      </c>
      <c r="AN5" s="418">
        <f>(AM5+AL5)*AK5</f>
        <v>-360.34800000000047</v>
      </c>
      <c r="AO5" s="386" t="s">
        <v>27</v>
      </c>
      <c r="AP5" s="310">
        <v>600</v>
      </c>
      <c r="AQ5" s="384">
        <f>y!I88/AK5</f>
        <v>-47.10058</v>
      </c>
      <c r="AR5" s="385">
        <v>42.75</v>
      </c>
      <c r="AS5" s="422">
        <f>(AR5+AQ5)*AP5</f>
        <v>-2610.3480000000004</v>
      </c>
      <c r="AT5" s="386" t="s">
        <v>27</v>
      </c>
      <c r="AU5" s="310">
        <v>600</v>
      </c>
      <c r="AV5" s="384">
        <f>y!I88/AK5</f>
        <v>-47.10058</v>
      </c>
      <c r="AW5" s="385">
        <v>42.75</v>
      </c>
      <c r="AX5" s="421">
        <f>(AW5+AV5)*AU5</f>
        <v>-2610.3480000000004</v>
      </c>
      <c r="AY5" s="386" t="s">
        <v>27</v>
      </c>
      <c r="AZ5" s="310">
        <v>600</v>
      </c>
      <c r="BA5" s="384">
        <f>y!I88/AK5</f>
        <v>-47.10058</v>
      </c>
      <c r="BB5" s="385">
        <v>42.75</v>
      </c>
      <c r="BC5" s="421">
        <f>(BB5+BA5)*AZ5</f>
        <v>-2610.3480000000004</v>
      </c>
      <c r="BD5" s="386" t="s">
        <v>27</v>
      </c>
      <c r="BE5" s="310">
        <v>600</v>
      </c>
      <c r="BF5" s="384">
        <f>y!I88/AK5</f>
        <v>-47.10058</v>
      </c>
      <c r="BG5" s="385">
        <v>43.75</v>
      </c>
      <c r="BH5" s="421">
        <f>(BG5+BF5)*BE5</f>
        <v>-2010.3480000000004</v>
      </c>
      <c r="BI5" s="386" t="s">
        <v>27</v>
      </c>
      <c r="BJ5" s="310">
        <v>600</v>
      </c>
      <c r="BK5" s="384">
        <f>y!I88/AK5</f>
        <v>-47.10058</v>
      </c>
      <c r="BL5" s="385">
        <v>43</v>
      </c>
      <c r="BM5" s="422">
        <f>(BL5+BK5)*BJ5</f>
        <v>-2460.3480000000004</v>
      </c>
      <c r="BN5" s="386" t="s">
        <v>27</v>
      </c>
      <c r="BO5" s="310">
        <v>600</v>
      </c>
      <c r="BP5" s="384">
        <f>y!I88/AK5</f>
        <v>-47.10058</v>
      </c>
      <c r="BQ5" s="385">
        <v>45</v>
      </c>
      <c r="BR5" s="422">
        <f>(BQ5+BP5)*BO5</f>
        <v>-1260.3480000000004</v>
      </c>
      <c r="BS5" s="386" t="s">
        <v>27</v>
      </c>
      <c r="BT5" s="310">
        <v>600</v>
      </c>
      <c r="BU5" s="384">
        <f>y!I88/AK5</f>
        <v>-47.10058</v>
      </c>
      <c r="BV5" s="385">
        <v>44.75</v>
      </c>
      <c r="BW5" s="418">
        <f>(BV5+BU5)*BT5</f>
        <v>-1410.3480000000004</v>
      </c>
      <c r="BX5" s="386" t="s">
        <v>27</v>
      </c>
      <c r="BY5" s="310">
        <v>1000</v>
      </c>
      <c r="BZ5" s="384">
        <f>-((600*47.1)+(-y!$I$98))/1000</f>
        <v>-46.398734</v>
      </c>
      <c r="CA5" s="385">
        <v>45.25</v>
      </c>
      <c r="CB5" s="421">
        <f>(CA5+BZ5)*BY5</f>
        <v>-1148.7339999999974</v>
      </c>
      <c r="CC5" s="386" t="s">
        <v>27</v>
      </c>
      <c r="CD5" s="310">
        <v>1000</v>
      </c>
      <c r="CE5" s="384">
        <f>-((600*47.1)+(-y!$I$98))/1000</f>
        <v>-46.398734</v>
      </c>
      <c r="CF5" s="385">
        <v>45.25</v>
      </c>
      <c r="CG5" s="420">
        <f>(CF5+CE5)*CD5</f>
        <v>-1148.7339999999974</v>
      </c>
      <c r="CH5" s="386" t="s">
        <v>27</v>
      </c>
      <c r="CI5" s="310">
        <v>1000</v>
      </c>
      <c r="CJ5" s="384">
        <f>-((600*47.1)+(-y!$I$98))/1000</f>
        <v>-46.398734</v>
      </c>
      <c r="CK5" s="385">
        <v>46.75</v>
      </c>
      <c r="CL5" s="383">
        <f>(CK5+CJ5)*CI5</f>
        <v>351.2660000000025</v>
      </c>
      <c r="CM5" s="386" t="s">
        <v>27</v>
      </c>
      <c r="CN5" s="310">
        <v>1000</v>
      </c>
      <c r="CO5" s="384">
        <f>-((600*47.1)+(-y!$I$98))/1000</f>
        <v>-46.398734</v>
      </c>
      <c r="CP5" s="385">
        <v>46.75</v>
      </c>
      <c r="CQ5" s="383">
        <f>(CP5+CO5)*CN5</f>
        <v>351.2660000000025</v>
      </c>
      <c r="CR5" s="386" t="s">
        <v>27</v>
      </c>
      <c r="CS5" s="310">
        <v>1000</v>
      </c>
      <c r="CT5" s="384">
        <f>-((600*47.1)+(-y!$I$98))/1000</f>
        <v>-46.398734</v>
      </c>
      <c r="CU5" s="385">
        <v>47</v>
      </c>
      <c r="CV5" s="383">
        <f>(CU5+CT5)*CS5</f>
        <v>601.2660000000026</v>
      </c>
      <c r="CW5" s="386" t="s">
        <v>27</v>
      </c>
      <c r="CX5" s="310">
        <v>1000</v>
      </c>
      <c r="CY5" s="384">
        <f>-((600*47.1)+(-y!$I$98))/1000</f>
        <v>-46.398734</v>
      </c>
      <c r="CZ5" s="385">
        <v>47.75</v>
      </c>
      <c r="DA5" s="383">
        <f>(CZ5+CY5)*CX5</f>
        <v>1351.2660000000026</v>
      </c>
      <c r="DB5" s="386" t="s">
        <v>27</v>
      </c>
      <c r="DC5" s="310">
        <v>1000</v>
      </c>
      <c r="DD5" s="384">
        <f>-((600*47.1)+(-y!$I$98))/1000</f>
        <v>-46.398734</v>
      </c>
      <c r="DE5" s="385">
        <v>48.25</v>
      </c>
      <c r="DF5" s="383">
        <f>(DE5+DD5)*DC5</f>
        <v>1851.2660000000026</v>
      </c>
      <c r="DG5" s="386" t="s">
        <v>27</v>
      </c>
      <c r="DH5" s="310">
        <v>1000</v>
      </c>
      <c r="DI5" s="384">
        <f>-((600*47.1)+(-y!$I$98))/1000</f>
        <v>-46.398734</v>
      </c>
      <c r="DJ5" s="385">
        <v>49</v>
      </c>
      <c r="DK5" s="383">
        <f>(DJ5+DI5)*DH5</f>
        <v>2601.2660000000024</v>
      </c>
      <c r="DL5" s="386" t="s">
        <v>27</v>
      </c>
      <c r="DM5" s="310">
        <v>1000</v>
      </c>
      <c r="DN5" s="384">
        <f>-((600*47.1)+(-y!$I$98))/1000</f>
        <v>-46.398734</v>
      </c>
      <c r="DO5" s="385">
        <v>47.75</v>
      </c>
      <c r="DP5" s="383">
        <f>(DO5+DN5)*DM5</f>
        <v>1351.2660000000026</v>
      </c>
      <c r="DQ5" s="386" t="s">
        <v>27</v>
      </c>
      <c r="DR5" s="310">
        <v>1000</v>
      </c>
      <c r="DS5" s="384">
        <f>-((600*47.1)+(-y!$I$98))/1000</f>
        <v>-46.398734</v>
      </c>
      <c r="DT5" s="385">
        <v>48.75</v>
      </c>
      <c r="DU5" s="383">
        <f>(DT5+DS5)*DR5</f>
        <v>2351.2660000000024</v>
      </c>
      <c r="DV5" s="386" t="s">
        <v>27</v>
      </c>
      <c r="DW5" s="310">
        <v>1000</v>
      </c>
      <c r="DX5" s="384">
        <f>-((600*47.1)+(-y!$I$98))/1000</f>
        <v>-46.398734</v>
      </c>
      <c r="DY5" s="385">
        <v>48.5</v>
      </c>
      <c r="DZ5" s="383">
        <f>(DY5+DX5)*DW5</f>
        <v>2101.2660000000024</v>
      </c>
      <c r="EA5" s="386" t="s">
        <v>27</v>
      </c>
      <c r="EB5" s="310">
        <v>1000</v>
      </c>
      <c r="EC5" s="384">
        <f>-((600*47.1)+(-y!$I$98))/1000</f>
        <v>-46.398734</v>
      </c>
      <c r="ED5" s="385">
        <v>49.5</v>
      </c>
      <c r="EE5" s="383">
        <f>(ED5+EC5)*EB5</f>
        <v>3101.2660000000024</v>
      </c>
    </row>
    <row r="6" spans="1:135" s="463" customFormat="1" ht="21.75">
      <c r="A6" s="289" t="s">
        <v>48</v>
      </c>
      <c r="B6" s="283">
        <v>500</v>
      </c>
      <c r="C6" s="284">
        <f>y!I72/B6</f>
        <v>-37.58025</v>
      </c>
      <c r="D6" s="285">
        <v>37.5</v>
      </c>
      <c r="E6" s="290">
        <f>(D6+C6)*B6</f>
        <v>-40.124999999999744</v>
      </c>
      <c r="F6" s="289" t="s">
        <v>48</v>
      </c>
      <c r="G6" s="283">
        <v>500</v>
      </c>
      <c r="H6" s="284">
        <f>y!I72/G6</f>
        <v>-37.58025</v>
      </c>
      <c r="I6" s="285">
        <v>38</v>
      </c>
      <c r="J6" s="336">
        <f>(I6+H6)*G6</f>
        <v>209.87500000000026</v>
      </c>
      <c r="K6" s="289" t="s">
        <v>48</v>
      </c>
      <c r="L6" s="283">
        <v>1500</v>
      </c>
      <c r="M6" s="284">
        <f>(y!I72+y!I80+y!I81)/L6</f>
        <v>-35.99352833333334</v>
      </c>
      <c r="N6" s="285">
        <v>35</v>
      </c>
      <c r="O6" s="290">
        <f>(N6+M6)*L6</f>
        <v>-1490.292500000006</v>
      </c>
      <c r="P6" s="401" t="s">
        <v>48</v>
      </c>
      <c r="Q6" s="283">
        <v>1500</v>
      </c>
      <c r="R6" s="284">
        <f>(y!I72+y!I80+y!I81)/Q6</f>
        <v>-35.99352833333334</v>
      </c>
      <c r="S6" s="285">
        <v>35.5</v>
      </c>
      <c r="T6" s="419">
        <f>(S6+R6)*Q6</f>
        <v>-740.292500000006</v>
      </c>
      <c r="U6" s="289" t="s">
        <v>48</v>
      </c>
      <c r="V6" s="283">
        <v>1500</v>
      </c>
      <c r="W6" s="284">
        <f>(y!I72+y!I80+y!I81)/V6</f>
        <v>-35.99352833333334</v>
      </c>
      <c r="X6" s="285">
        <v>39</v>
      </c>
      <c r="Y6" s="356">
        <f>(X6+W6)*V6</f>
        <v>4509.707499999994</v>
      </c>
      <c r="Z6" s="289" t="s">
        <v>48</v>
      </c>
      <c r="AA6" s="283">
        <v>1500</v>
      </c>
      <c r="AB6" s="284">
        <f>(y!I72+y!I80+y!I81)/AA6</f>
        <v>-35.99352833333334</v>
      </c>
      <c r="AC6" s="285">
        <v>39</v>
      </c>
      <c r="AD6" s="356">
        <f>(AC6+AB6)*AA6</f>
        <v>4509.707499999994</v>
      </c>
      <c r="AE6" s="289" t="s">
        <v>48</v>
      </c>
      <c r="AF6" s="283">
        <v>1500</v>
      </c>
      <c r="AG6" s="284">
        <f>(y!I72+y!I80+y!I81)/AF6</f>
        <v>-35.99352833333334</v>
      </c>
      <c r="AH6" s="285">
        <v>41.75</v>
      </c>
      <c r="AI6" s="356">
        <f>(AH6+AG6)*AF6</f>
        <v>8634.707499999993</v>
      </c>
      <c r="AJ6" s="289" t="s">
        <v>48</v>
      </c>
      <c r="AK6" s="283">
        <v>1500</v>
      </c>
      <c r="AL6" s="284">
        <f>(y!I72+y!I80+y!I81)/AK6</f>
        <v>-35.99352833333334</v>
      </c>
      <c r="AM6" s="285">
        <v>40.5</v>
      </c>
      <c r="AN6" s="356">
        <f>(AM6+AL6)*AK6</f>
        <v>6759.707499999994</v>
      </c>
      <c r="AO6" s="289" t="s">
        <v>48</v>
      </c>
      <c r="AP6" s="283">
        <v>1000</v>
      </c>
      <c r="AQ6" s="284">
        <f>(y!I72+y!I80+y!I81)/AK6</f>
        <v>-35.99352833333334</v>
      </c>
      <c r="AR6" s="285">
        <v>38</v>
      </c>
      <c r="AS6" s="356">
        <f>(AR6+AQ6)*AP6</f>
        <v>2006.4716666666627</v>
      </c>
      <c r="AT6" s="289" t="s">
        <v>48</v>
      </c>
      <c r="AU6" s="283">
        <v>1000</v>
      </c>
      <c r="AV6" s="284">
        <f>(y!I72+y!I80+y!I81)/AK6</f>
        <v>-35.99352833333334</v>
      </c>
      <c r="AW6" s="285">
        <v>38</v>
      </c>
      <c r="AX6" s="336">
        <f>(AW6+AV6)*AU6</f>
        <v>2006.4716666666627</v>
      </c>
      <c r="AY6" s="289" t="s">
        <v>48</v>
      </c>
      <c r="AZ6" s="283">
        <v>1500</v>
      </c>
      <c r="BA6" s="284">
        <f>((-1000*35.99)+(y!I93))/1500</f>
        <v>-36.35306</v>
      </c>
      <c r="BB6" s="285">
        <v>37</v>
      </c>
      <c r="BC6" s="336">
        <f>(BB6+BA6)*AZ6</f>
        <v>970.4100000000011</v>
      </c>
      <c r="BD6" s="289" t="s">
        <v>48</v>
      </c>
      <c r="BE6" s="283">
        <v>1500</v>
      </c>
      <c r="BF6" s="284">
        <f>((-1000*35.99)+(y!I93))/1500</f>
        <v>-36.35306</v>
      </c>
      <c r="BG6" s="285">
        <v>38</v>
      </c>
      <c r="BH6" s="336">
        <f>(BG6+BF6)*BE6</f>
        <v>2470.410000000001</v>
      </c>
      <c r="BI6" s="289" t="s">
        <v>48</v>
      </c>
      <c r="BJ6" s="283">
        <v>500</v>
      </c>
      <c r="BK6" s="284">
        <f>((-1000*35.99)+(y!I93))/1500</f>
        <v>-36.35306</v>
      </c>
      <c r="BL6" s="285">
        <v>38</v>
      </c>
      <c r="BM6" s="356">
        <f>(BL6+BK6)*BJ6</f>
        <v>823.4700000000004</v>
      </c>
      <c r="BN6" s="289" t="s">
        <v>48</v>
      </c>
      <c r="BO6" s="283">
        <v>1000</v>
      </c>
      <c r="BP6" s="284">
        <f>-((36.35*500)+(-y!I96))/1000</f>
        <v>-36.464055</v>
      </c>
      <c r="BQ6" s="285">
        <v>36.5</v>
      </c>
      <c r="BR6" s="356">
        <f>(BQ6+BP6)*BO6</f>
        <v>35.94499999999812</v>
      </c>
      <c r="BS6" s="289" t="s">
        <v>48</v>
      </c>
      <c r="BT6" s="283">
        <v>1500</v>
      </c>
      <c r="BU6" s="284">
        <f>-((36.46*1000)+(-y!$I$97))/1500</f>
        <v>-36.66639333333333</v>
      </c>
      <c r="BV6" s="285">
        <v>36.5</v>
      </c>
      <c r="BW6" s="419">
        <f>(BV6+BU6)*BT6</f>
        <v>-249.58999999999776</v>
      </c>
      <c r="BX6" s="289" t="s">
        <v>48</v>
      </c>
      <c r="BY6" s="283">
        <v>1500</v>
      </c>
      <c r="BZ6" s="284">
        <f>-((36.46*1000)+(-y!$I$97))/1500</f>
        <v>-36.66639333333333</v>
      </c>
      <c r="CA6" s="285">
        <v>37</v>
      </c>
      <c r="CB6" s="336">
        <f>(CA6+BZ6)*BY6</f>
        <v>500.41000000000224</v>
      </c>
      <c r="CC6" s="289" t="s">
        <v>48</v>
      </c>
      <c r="CD6" s="283">
        <v>1000</v>
      </c>
      <c r="CE6" s="284">
        <f>-((36.46*1000)+(-y!$I$97))/1500</f>
        <v>-36.66639333333333</v>
      </c>
      <c r="CF6" s="285">
        <v>39.25</v>
      </c>
      <c r="CG6" s="336">
        <f>(CF6+CE6)*CD6</f>
        <v>2583.6066666666684</v>
      </c>
      <c r="CH6" s="289" t="s">
        <v>48</v>
      </c>
      <c r="CI6" s="283">
        <v>1000</v>
      </c>
      <c r="CJ6" s="284">
        <f>-((36.46*1000)+(-y!$I$97))/1500</f>
        <v>-36.66639333333333</v>
      </c>
      <c r="CK6" s="285">
        <v>39.25</v>
      </c>
      <c r="CL6" s="336">
        <f>(CK6+CJ6)*CI6</f>
        <v>2583.6066666666684</v>
      </c>
      <c r="CM6" s="289" t="s">
        <v>48</v>
      </c>
      <c r="CN6" s="283">
        <v>1000</v>
      </c>
      <c r="CO6" s="284">
        <f>-((36.46*1000)+(-y!$I$97))/1500</f>
        <v>-36.66639333333333</v>
      </c>
      <c r="CP6" s="285">
        <v>38.75</v>
      </c>
      <c r="CQ6" s="336">
        <f>(CP6+CO6)*CN6</f>
        <v>2083.6066666666684</v>
      </c>
      <c r="CR6" s="289" t="s">
        <v>48</v>
      </c>
      <c r="CS6" s="283">
        <v>1000</v>
      </c>
      <c r="CT6" s="284">
        <f>-((36.46*1000)+(-y!$I$97))/1500</f>
        <v>-36.66639333333333</v>
      </c>
      <c r="CU6" s="285">
        <v>38.75</v>
      </c>
      <c r="CV6" s="336">
        <f>(CU6+CT6)*CS6</f>
        <v>2083.6066666666684</v>
      </c>
      <c r="CW6" s="289" t="s">
        <v>48</v>
      </c>
      <c r="CX6" s="283">
        <v>500</v>
      </c>
      <c r="CY6" s="284">
        <f>-((36.46*1000)+(-y!$I$97))/1500</f>
        <v>-36.66639333333333</v>
      </c>
      <c r="CZ6" s="285">
        <v>38</v>
      </c>
      <c r="DA6" s="336">
        <f>(CZ6+CY6)*CX6</f>
        <v>666.8033333333341</v>
      </c>
      <c r="DB6" s="289" t="s">
        <v>48</v>
      </c>
      <c r="DC6" s="283">
        <v>500</v>
      </c>
      <c r="DD6" s="284">
        <f>-((36.46*1000)+(-y!$I$97))/1500</f>
        <v>-36.66639333333333</v>
      </c>
      <c r="DE6" s="285">
        <v>38</v>
      </c>
      <c r="DF6" s="336">
        <f>(DE6+DD6)*DC6</f>
        <v>666.8033333333341</v>
      </c>
      <c r="DG6" s="289" t="s">
        <v>48</v>
      </c>
      <c r="DH6" s="283">
        <v>500</v>
      </c>
      <c r="DI6" s="284">
        <f>-((36.46*1000)+(-y!$I$97))/1500</f>
        <v>-36.66639333333333</v>
      </c>
      <c r="DJ6" s="285">
        <v>38</v>
      </c>
      <c r="DK6" s="336">
        <f>(DJ6+DI6)*DH6</f>
        <v>666.8033333333341</v>
      </c>
      <c r="DL6" s="289" t="s">
        <v>48</v>
      </c>
      <c r="DM6" s="283">
        <v>500</v>
      </c>
      <c r="DN6" s="284">
        <f>-((36.46*1000)+(-y!$I$97))/1500</f>
        <v>-36.66639333333333</v>
      </c>
      <c r="DO6" s="285">
        <v>37</v>
      </c>
      <c r="DP6" s="336">
        <f>(DO6+DN6)*DM6</f>
        <v>166.80333333333408</v>
      </c>
      <c r="DQ6" s="289" t="s">
        <v>48</v>
      </c>
      <c r="DR6" s="283">
        <v>500</v>
      </c>
      <c r="DS6" s="284">
        <f>-((36.46*1000)+(-y!$I$97))/1500</f>
        <v>-36.66639333333333</v>
      </c>
      <c r="DT6" s="285">
        <v>39</v>
      </c>
      <c r="DU6" s="336">
        <f>(DT6+DS6)*DR6</f>
        <v>1166.8033333333342</v>
      </c>
      <c r="DV6" s="289" t="s">
        <v>48</v>
      </c>
      <c r="DW6" s="283">
        <v>500</v>
      </c>
      <c r="DX6" s="284">
        <f>-((36.46*1000)+(-y!$I$97))/1500</f>
        <v>-36.66639333333333</v>
      </c>
      <c r="DY6" s="285">
        <v>38</v>
      </c>
      <c r="DZ6" s="336">
        <f>(DY6+DX6)*DW6</f>
        <v>666.8033333333341</v>
      </c>
      <c r="EA6" s="289" t="s">
        <v>48</v>
      </c>
      <c r="EB6" s="283">
        <v>500</v>
      </c>
      <c r="EC6" s="284">
        <f>-((36.46*1000)+(-y!$I$97))/1500</f>
        <v>-36.66639333333333</v>
      </c>
      <c r="ED6" s="285">
        <v>38</v>
      </c>
      <c r="EE6" s="336">
        <f>(ED6+EC6)*EB6</f>
        <v>666.8033333333341</v>
      </c>
    </row>
    <row r="7" spans="1:135" s="463" customFormat="1" ht="21.75">
      <c r="A7" s="468"/>
      <c r="B7" s="311"/>
      <c r="C7" s="311"/>
      <c r="D7" s="311"/>
      <c r="E7" s="322"/>
      <c r="F7" s="321"/>
      <c r="G7" s="311"/>
      <c r="H7" s="311"/>
      <c r="I7" s="311"/>
      <c r="J7" s="322"/>
      <c r="K7" s="468"/>
      <c r="L7" s="311"/>
      <c r="M7" s="311"/>
      <c r="N7" s="311"/>
      <c r="O7" s="322"/>
      <c r="P7" s="469"/>
      <c r="Q7" s="311"/>
      <c r="R7" s="311"/>
      <c r="S7" s="311"/>
      <c r="T7" s="470"/>
      <c r="U7" s="468"/>
      <c r="V7" s="311"/>
      <c r="W7" s="311"/>
      <c r="X7" s="311"/>
      <c r="Y7" s="470"/>
      <c r="Z7" s="468"/>
      <c r="AA7" s="311"/>
      <c r="AB7" s="311"/>
      <c r="AC7" s="311"/>
      <c r="AD7" s="470"/>
      <c r="AE7" s="468"/>
      <c r="AF7" s="311"/>
      <c r="AG7" s="311"/>
      <c r="AH7" s="311"/>
      <c r="AI7" s="470"/>
      <c r="AJ7" s="468"/>
      <c r="AK7" s="311"/>
      <c r="AL7" s="311"/>
      <c r="AM7" s="311"/>
      <c r="AN7" s="470"/>
      <c r="AO7" s="468"/>
      <c r="AP7" s="311"/>
      <c r="AQ7" s="311"/>
      <c r="AR7" s="311"/>
      <c r="AS7" s="470"/>
      <c r="AT7" s="468"/>
      <c r="AU7" s="311"/>
      <c r="AV7" s="311"/>
      <c r="AW7" s="311"/>
      <c r="AX7" s="322"/>
      <c r="AY7" s="468"/>
      <c r="AZ7" s="311"/>
      <c r="BA7" s="311"/>
      <c r="BB7" s="311"/>
      <c r="BC7" s="322"/>
      <c r="BD7" s="468"/>
      <c r="BE7" s="311"/>
      <c r="BF7" s="311"/>
      <c r="BG7" s="311"/>
      <c r="BH7" s="322"/>
      <c r="BI7" s="468"/>
      <c r="BJ7" s="311"/>
      <c r="BK7" s="311"/>
      <c r="BL7" s="311"/>
      <c r="BM7" s="470"/>
      <c r="BN7" s="468"/>
      <c r="BO7" s="311"/>
      <c r="BP7" s="311"/>
      <c r="BQ7" s="311"/>
      <c r="BR7" s="470"/>
      <c r="BS7" s="468"/>
      <c r="BT7" s="311"/>
      <c r="BU7" s="311"/>
      <c r="BV7" s="311"/>
      <c r="BW7" s="470"/>
      <c r="BX7" s="468"/>
      <c r="BY7" s="311"/>
      <c r="BZ7" s="311"/>
      <c r="CA7" s="311"/>
      <c r="CB7" s="322"/>
      <c r="CC7" s="438" t="s">
        <v>48</v>
      </c>
      <c r="CD7" s="439">
        <v>500</v>
      </c>
      <c r="CE7" s="440">
        <f>y!$I$100/500</f>
        <v>-39.333995</v>
      </c>
      <c r="CF7" s="441">
        <v>39.25</v>
      </c>
      <c r="CG7" s="442">
        <f>(CF7+CE7)*CD7</f>
        <v>-41.9975000000008</v>
      </c>
      <c r="CH7" s="438" t="s">
        <v>48</v>
      </c>
      <c r="CI7" s="439">
        <v>500</v>
      </c>
      <c r="CJ7" s="440">
        <f>y!$I$100/500</f>
        <v>-39.333995</v>
      </c>
      <c r="CK7" s="441">
        <v>39.25</v>
      </c>
      <c r="CL7" s="442">
        <f>(CK7+CJ7)*CI7</f>
        <v>-41.9975000000008</v>
      </c>
      <c r="CM7" s="438" t="s">
        <v>48</v>
      </c>
      <c r="CN7" s="439">
        <v>500</v>
      </c>
      <c r="CO7" s="440">
        <f>y!$I$100/500</f>
        <v>-39.333995</v>
      </c>
      <c r="CP7" s="441">
        <v>38.75</v>
      </c>
      <c r="CQ7" s="442">
        <f>(CP7+CO7)*CN7</f>
        <v>-291.9975000000008</v>
      </c>
      <c r="CR7" s="438" t="s">
        <v>48</v>
      </c>
      <c r="CS7" s="439">
        <v>500</v>
      </c>
      <c r="CT7" s="440">
        <f>y!$I$100/500</f>
        <v>-39.333995</v>
      </c>
      <c r="CU7" s="441">
        <v>38.75</v>
      </c>
      <c r="CV7" s="442">
        <f>(CU7+CT7)*CS7</f>
        <v>-291.9975000000008</v>
      </c>
      <c r="CW7" s="438" t="s">
        <v>48</v>
      </c>
      <c r="CX7" s="439">
        <v>500</v>
      </c>
      <c r="CY7" s="440">
        <f>y!$I$100/500</f>
        <v>-39.333995</v>
      </c>
      <c r="CZ7" s="441">
        <v>38</v>
      </c>
      <c r="DA7" s="442">
        <f>(CZ7+CY7)*CX7</f>
        <v>-666.9975000000009</v>
      </c>
      <c r="DB7" s="438" t="s">
        <v>48</v>
      </c>
      <c r="DC7" s="439">
        <v>500</v>
      </c>
      <c r="DD7" s="440">
        <f>y!$I$100/500</f>
        <v>-39.333995</v>
      </c>
      <c r="DE7" s="441">
        <v>38</v>
      </c>
      <c r="DF7" s="442">
        <f>(DE7+DD7)*DC7</f>
        <v>-666.9975000000009</v>
      </c>
      <c r="DG7" s="438" t="s">
        <v>48</v>
      </c>
      <c r="DH7" s="439">
        <v>500</v>
      </c>
      <c r="DI7" s="440">
        <f>y!$I$100/500</f>
        <v>-39.333995</v>
      </c>
      <c r="DJ7" s="441">
        <v>38</v>
      </c>
      <c r="DK7" s="442">
        <f>(DJ7+DI7)*DH7</f>
        <v>-666.9975000000009</v>
      </c>
      <c r="DL7" s="438" t="s">
        <v>48</v>
      </c>
      <c r="DM7" s="439">
        <v>500</v>
      </c>
      <c r="DN7" s="440">
        <f>y!$I$100/500</f>
        <v>-39.333995</v>
      </c>
      <c r="DO7" s="441">
        <v>37</v>
      </c>
      <c r="DP7" s="442">
        <f>(DO7+DN7)*DM7</f>
        <v>-1166.9975000000009</v>
      </c>
      <c r="DQ7" s="438" t="s">
        <v>48</v>
      </c>
      <c r="DR7" s="439">
        <v>500</v>
      </c>
      <c r="DS7" s="440">
        <f>y!$I$100/500</f>
        <v>-39.333995</v>
      </c>
      <c r="DT7" s="441">
        <v>39</v>
      </c>
      <c r="DU7" s="442">
        <f>(DT7+DS7)*DR7</f>
        <v>-166.9975000000008</v>
      </c>
      <c r="DV7" s="438" t="s">
        <v>48</v>
      </c>
      <c r="DW7" s="439">
        <v>500</v>
      </c>
      <c r="DX7" s="440">
        <f>y!$I$100/500</f>
        <v>-39.333995</v>
      </c>
      <c r="DY7" s="441">
        <v>38</v>
      </c>
      <c r="DZ7" s="442">
        <f>(DY7+DX7)*DW7</f>
        <v>-666.9975000000009</v>
      </c>
      <c r="EA7" s="438" t="s">
        <v>48</v>
      </c>
      <c r="EB7" s="439">
        <v>500</v>
      </c>
      <c r="EC7" s="440">
        <f>y!$I$100/500</f>
        <v>-39.333995</v>
      </c>
      <c r="ED7" s="441">
        <v>38</v>
      </c>
      <c r="EE7" s="442">
        <f>(ED7+EC7)*EB7</f>
        <v>-666.9975000000009</v>
      </c>
    </row>
    <row r="8" spans="1:135" s="463" customFormat="1" ht="21.75">
      <c r="A8" s="291" t="s">
        <v>31</v>
      </c>
      <c r="B8" s="286">
        <v>500</v>
      </c>
      <c r="C8" s="287">
        <f>y!I34/1000</f>
        <v>-9.019260000000001</v>
      </c>
      <c r="D8" s="286">
        <v>7.75</v>
      </c>
      <c r="E8" s="292">
        <f>(D8+C8)*B8</f>
        <v>-634.6300000000005</v>
      </c>
      <c r="F8" s="323"/>
      <c r="G8" s="286"/>
      <c r="H8" s="286"/>
      <c r="I8" s="286"/>
      <c r="J8" s="324"/>
      <c r="K8" s="291"/>
      <c r="L8" s="286"/>
      <c r="M8" s="286"/>
      <c r="N8" s="286"/>
      <c r="O8" s="324"/>
      <c r="P8" s="471"/>
      <c r="Q8" s="286"/>
      <c r="R8" s="286"/>
      <c r="S8" s="286"/>
      <c r="T8" s="472"/>
      <c r="U8" s="291"/>
      <c r="V8" s="286"/>
      <c r="W8" s="286"/>
      <c r="X8" s="286"/>
      <c r="Y8" s="472"/>
      <c r="Z8" s="291"/>
      <c r="AA8" s="286"/>
      <c r="AB8" s="286"/>
      <c r="AC8" s="286"/>
      <c r="AD8" s="472"/>
      <c r="AE8" s="291"/>
      <c r="AF8" s="286"/>
      <c r="AG8" s="286"/>
      <c r="AH8" s="286"/>
      <c r="AI8" s="472"/>
      <c r="AJ8" s="291"/>
      <c r="AK8" s="286"/>
      <c r="AL8" s="286"/>
      <c r="AM8" s="286"/>
      <c r="AN8" s="472"/>
      <c r="AO8" s="291"/>
      <c r="AP8" s="286"/>
      <c r="AQ8" s="286"/>
      <c r="AR8" s="286"/>
      <c r="AS8" s="472"/>
      <c r="AT8" s="291"/>
      <c r="AU8" s="286"/>
      <c r="AV8" s="286"/>
      <c r="AW8" s="286"/>
      <c r="AX8" s="324"/>
      <c r="AY8" s="291"/>
      <c r="AZ8" s="286"/>
      <c r="BA8" s="286"/>
      <c r="BB8" s="286"/>
      <c r="BC8" s="324"/>
      <c r="BD8" s="291"/>
      <c r="BE8" s="286"/>
      <c r="BF8" s="286"/>
      <c r="BG8" s="286"/>
      <c r="BH8" s="324"/>
      <c r="BI8" s="291"/>
      <c r="BJ8" s="286"/>
      <c r="BK8" s="286"/>
      <c r="BL8" s="286"/>
      <c r="BM8" s="472"/>
      <c r="BN8" s="291"/>
      <c r="BO8" s="286"/>
      <c r="BP8" s="286"/>
      <c r="BQ8" s="286"/>
      <c r="BR8" s="472"/>
      <c r="BS8" s="291"/>
      <c r="BT8" s="286"/>
      <c r="BU8" s="286"/>
      <c r="BV8" s="286"/>
      <c r="BW8" s="472"/>
      <c r="BX8" s="291"/>
      <c r="BY8" s="286"/>
      <c r="BZ8" s="286"/>
      <c r="CA8" s="286"/>
      <c r="CB8" s="324"/>
      <c r="CC8" s="291"/>
      <c r="CD8" s="286"/>
      <c r="CE8" s="286"/>
      <c r="CF8" s="286"/>
      <c r="CG8" s="324"/>
      <c r="CH8" s="291"/>
      <c r="CI8" s="286"/>
      <c r="CJ8" s="286"/>
      <c r="CK8" s="286"/>
      <c r="CL8" s="324"/>
      <c r="CM8" s="291" t="s">
        <v>100</v>
      </c>
      <c r="CN8" s="286">
        <v>500</v>
      </c>
      <c r="CO8" s="431">
        <f>y!$I$102/500</f>
        <v>-28.811525000000003</v>
      </c>
      <c r="CP8" s="431">
        <v>28.75</v>
      </c>
      <c r="CQ8" s="292">
        <f>(CP8+CO8)*CN8</f>
        <v>-30.76250000000158</v>
      </c>
      <c r="CR8" s="291" t="s">
        <v>100</v>
      </c>
      <c r="CS8" s="286">
        <v>700</v>
      </c>
      <c r="CT8" s="431">
        <f>(y!$I$102+y!$I$103)/700</f>
        <v>-28.88310642857143</v>
      </c>
      <c r="CU8" s="431">
        <v>29</v>
      </c>
      <c r="CV8" s="443">
        <f>(CU8+CT8)*CS8</f>
        <v>81.82549999999864</v>
      </c>
      <c r="CW8" s="291"/>
      <c r="CX8" s="286"/>
      <c r="CY8" s="431"/>
      <c r="CZ8" s="431"/>
      <c r="DA8" s="443"/>
      <c r="DB8" s="291"/>
      <c r="DC8" s="286"/>
      <c r="DD8" s="286"/>
      <c r="DE8" s="286"/>
      <c r="DF8" s="324"/>
      <c r="DG8" s="291"/>
      <c r="DH8" s="286"/>
      <c r="DI8" s="286"/>
      <c r="DJ8" s="286"/>
      <c r="DK8" s="324"/>
      <c r="DL8" s="291"/>
      <c r="DM8" s="286"/>
      <c r="DN8" s="286"/>
      <c r="DO8" s="286"/>
      <c r="DP8" s="324"/>
      <c r="DQ8" s="291"/>
      <c r="DR8" s="286"/>
      <c r="DS8" s="286"/>
      <c r="DT8" s="286"/>
      <c r="DU8" s="324"/>
      <c r="DV8" s="291"/>
      <c r="DW8" s="286"/>
      <c r="DX8" s="286"/>
      <c r="DY8" s="286"/>
      <c r="DZ8" s="324"/>
      <c r="EA8" s="291"/>
      <c r="EB8" s="286"/>
      <c r="EC8" s="286"/>
      <c r="ED8" s="286"/>
      <c r="EE8" s="324"/>
    </row>
    <row r="9" spans="1:135" s="463" customFormat="1" ht="21.75">
      <c r="A9" s="376"/>
      <c r="B9" s="312"/>
      <c r="C9" s="312"/>
      <c r="D9" s="312"/>
      <c r="E9" s="326"/>
      <c r="F9" s="325"/>
      <c r="G9" s="312"/>
      <c r="H9" s="312"/>
      <c r="I9" s="312"/>
      <c r="J9" s="326"/>
      <c r="K9" s="376"/>
      <c r="L9" s="312"/>
      <c r="M9" s="312"/>
      <c r="N9" s="312"/>
      <c r="O9" s="326"/>
      <c r="P9" s="473"/>
      <c r="Q9" s="312"/>
      <c r="R9" s="312"/>
      <c r="S9" s="312"/>
      <c r="T9" s="474"/>
      <c r="U9" s="376"/>
      <c r="V9" s="312"/>
      <c r="W9" s="312"/>
      <c r="X9" s="312"/>
      <c r="Y9" s="474"/>
      <c r="Z9" s="376" t="s">
        <v>27</v>
      </c>
      <c r="AA9" s="312">
        <v>600</v>
      </c>
      <c r="AB9" s="475">
        <f>y!I86/600</f>
        <v>-47.60165</v>
      </c>
      <c r="AC9" s="476">
        <v>45</v>
      </c>
      <c r="AD9" s="424">
        <f>(AC9+AB9)*AA9</f>
        <v>-1560.9899999999996</v>
      </c>
      <c r="AE9" s="376"/>
      <c r="AF9" s="312"/>
      <c r="AG9" s="312"/>
      <c r="AH9" s="312"/>
      <c r="AI9" s="474"/>
      <c r="AJ9" s="376"/>
      <c r="AK9" s="312"/>
      <c r="AL9" s="312"/>
      <c r="AM9" s="312"/>
      <c r="AN9" s="474"/>
      <c r="AO9" s="376"/>
      <c r="AP9" s="312"/>
      <c r="AQ9" s="312"/>
      <c r="AR9" s="312"/>
      <c r="AS9" s="474"/>
      <c r="AT9" s="376"/>
      <c r="AU9" s="312"/>
      <c r="AV9" s="312"/>
      <c r="AW9" s="312"/>
      <c r="AX9" s="326"/>
      <c r="AY9" s="376"/>
      <c r="AZ9" s="312"/>
      <c r="BA9" s="312"/>
      <c r="BB9" s="312"/>
      <c r="BC9" s="326"/>
      <c r="BD9" s="376"/>
      <c r="BE9" s="312"/>
      <c r="BF9" s="312"/>
      <c r="BG9" s="312"/>
      <c r="BH9" s="326"/>
      <c r="BI9" s="376"/>
      <c r="BJ9" s="312"/>
      <c r="BK9" s="312"/>
      <c r="BL9" s="312"/>
      <c r="BM9" s="474"/>
      <c r="BN9" s="376"/>
      <c r="BO9" s="312"/>
      <c r="BP9" s="312"/>
      <c r="BQ9" s="312"/>
      <c r="BR9" s="474"/>
      <c r="BS9" s="376"/>
      <c r="BT9" s="312"/>
      <c r="BU9" s="312"/>
      <c r="BV9" s="312"/>
      <c r="BW9" s="474"/>
      <c r="BX9" s="376"/>
      <c r="BY9" s="312"/>
      <c r="BZ9" s="312"/>
      <c r="CA9" s="312"/>
      <c r="CB9" s="326"/>
      <c r="CC9" s="376"/>
      <c r="CD9" s="312"/>
      <c r="CE9" s="312"/>
      <c r="CF9" s="312"/>
      <c r="CG9" s="326"/>
      <c r="CH9" s="376"/>
      <c r="CI9" s="312"/>
      <c r="CJ9" s="312"/>
      <c r="CK9" s="312"/>
      <c r="CL9" s="326"/>
      <c r="CM9" s="376"/>
      <c r="CN9" s="312"/>
      <c r="CO9" s="312"/>
      <c r="CP9" s="312"/>
      <c r="CQ9" s="326"/>
      <c r="CR9" s="376"/>
      <c r="CS9" s="312"/>
      <c r="CT9" s="312"/>
      <c r="CU9" s="312"/>
      <c r="CV9" s="326"/>
      <c r="CW9" s="376"/>
      <c r="CX9" s="312"/>
      <c r="CY9" s="312"/>
      <c r="CZ9" s="312"/>
      <c r="DA9" s="326"/>
      <c r="DB9" s="376"/>
      <c r="DC9" s="312"/>
      <c r="DD9" s="312"/>
      <c r="DE9" s="312"/>
      <c r="DF9" s="326"/>
      <c r="DG9" s="376"/>
      <c r="DH9" s="312"/>
      <c r="DI9" s="312"/>
      <c r="DJ9" s="312"/>
      <c r="DK9" s="326"/>
      <c r="DL9" s="376"/>
      <c r="DM9" s="312"/>
      <c r="DN9" s="312"/>
      <c r="DO9" s="312"/>
      <c r="DP9" s="326"/>
      <c r="DQ9" s="376"/>
      <c r="DR9" s="312"/>
      <c r="DS9" s="312"/>
      <c r="DT9" s="312"/>
      <c r="DU9" s="326"/>
      <c r="DV9" s="376"/>
      <c r="DW9" s="312"/>
      <c r="DX9" s="312"/>
      <c r="DY9" s="312"/>
      <c r="DZ9" s="326"/>
      <c r="EA9" s="376"/>
      <c r="EB9" s="312"/>
      <c r="EC9" s="312"/>
      <c r="ED9" s="312"/>
      <c r="EE9" s="326"/>
    </row>
    <row r="10" spans="1:135" s="463" customFormat="1" ht="21.75">
      <c r="A10" s="477"/>
      <c r="B10" s="313"/>
      <c r="C10" s="313"/>
      <c r="D10" s="313"/>
      <c r="E10" s="328"/>
      <c r="F10" s="327"/>
      <c r="G10" s="313"/>
      <c r="H10" s="313"/>
      <c r="I10" s="313"/>
      <c r="J10" s="328"/>
      <c r="K10" s="477"/>
      <c r="L10" s="313"/>
      <c r="M10" s="313"/>
      <c r="N10" s="313"/>
      <c r="O10" s="328"/>
      <c r="P10" s="478"/>
      <c r="Q10" s="313"/>
      <c r="R10" s="313"/>
      <c r="S10" s="313"/>
      <c r="T10" s="479"/>
      <c r="U10" s="477"/>
      <c r="V10" s="313"/>
      <c r="W10" s="313"/>
      <c r="X10" s="313"/>
      <c r="Y10" s="479"/>
      <c r="Z10" s="477"/>
      <c r="AA10" s="313"/>
      <c r="AB10" s="313"/>
      <c r="AC10" s="313"/>
      <c r="AD10" s="479"/>
      <c r="AE10" s="477"/>
      <c r="AF10" s="313"/>
      <c r="AG10" s="313"/>
      <c r="AH10" s="313"/>
      <c r="AI10" s="479"/>
      <c r="AJ10" s="477"/>
      <c r="AK10" s="313"/>
      <c r="AL10" s="313"/>
      <c r="AM10" s="313"/>
      <c r="AN10" s="479"/>
      <c r="AO10" s="477"/>
      <c r="AP10" s="313"/>
      <c r="AQ10" s="313"/>
      <c r="AR10" s="313"/>
      <c r="AS10" s="479"/>
      <c r="AT10" s="477"/>
      <c r="AU10" s="313"/>
      <c r="AV10" s="313"/>
      <c r="AW10" s="313"/>
      <c r="AX10" s="328"/>
      <c r="AY10" s="477"/>
      <c r="AZ10" s="313"/>
      <c r="BA10" s="313"/>
      <c r="BB10" s="313"/>
      <c r="BC10" s="328"/>
      <c r="BD10" s="477"/>
      <c r="BE10" s="313"/>
      <c r="BF10" s="313"/>
      <c r="BG10" s="313"/>
      <c r="BH10" s="328"/>
      <c r="BI10" s="477"/>
      <c r="BJ10" s="313"/>
      <c r="BK10" s="313"/>
      <c r="BL10" s="313"/>
      <c r="BM10" s="479"/>
      <c r="BN10" s="477"/>
      <c r="BO10" s="313"/>
      <c r="BP10" s="313"/>
      <c r="BQ10" s="313"/>
      <c r="BR10" s="479"/>
      <c r="BS10" s="477"/>
      <c r="BT10" s="313"/>
      <c r="BU10" s="313"/>
      <c r="BV10" s="313"/>
      <c r="BW10" s="479"/>
      <c r="BX10" s="477"/>
      <c r="BY10" s="313"/>
      <c r="BZ10" s="313"/>
      <c r="CA10" s="313"/>
      <c r="CB10" s="328"/>
      <c r="CC10" s="477"/>
      <c r="CD10" s="313"/>
      <c r="CE10" s="313"/>
      <c r="CF10" s="313"/>
      <c r="CG10" s="328"/>
      <c r="CH10" s="477"/>
      <c r="CI10" s="313"/>
      <c r="CJ10" s="313"/>
      <c r="CK10" s="313"/>
      <c r="CL10" s="328"/>
      <c r="CM10" s="477"/>
      <c r="CN10" s="313"/>
      <c r="CO10" s="313"/>
      <c r="CP10" s="313"/>
      <c r="CQ10" s="328"/>
      <c r="CR10" s="477"/>
      <c r="CS10" s="313"/>
      <c r="CT10" s="313"/>
      <c r="CU10" s="313"/>
      <c r="CV10" s="328"/>
      <c r="CW10" s="477"/>
      <c r="CX10" s="313"/>
      <c r="CY10" s="313"/>
      <c r="CZ10" s="313"/>
      <c r="DA10" s="328"/>
      <c r="DB10" s="477"/>
      <c r="DC10" s="313"/>
      <c r="DD10" s="313"/>
      <c r="DE10" s="313"/>
      <c r="DF10" s="328"/>
      <c r="DG10" s="477"/>
      <c r="DH10" s="313"/>
      <c r="DI10" s="313"/>
      <c r="DJ10" s="313"/>
      <c r="DK10" s="328"/>
      <c r="DL10" s="477"/>
      <c r="DM10" s="313"/>
      <c r="DN10" s="313"/>
      <c r="DO10" s="313"/>
      <c r="DP10" s="328"/>
      <c r="DQ10" s="477"/>
      <c r="DR10" s="313"/>
      <c r="DS10" s="313"/>
      <c r="DT10" s="313"/>
      <c r="DU10" s="328"/>
      <c r="DV10" s="477"/>
      <c r="DW10" s="313"/>
      <c r="DX10" s="313"/>
      <c r="DY10" s="313"/>
      <c r="DZ10" s="328"/>
      <c r="EA10" s="477"/>
      <c r="EB10" s="313"/>
      <c r="EC10" s="313"/>
      <c r="ED10" s="313"/>
      <c r="EE10" s="328"/>
    </row>
    <row r="11" spans="1:135" s="463" customFormat="1" ht="21.75">
      <c r="A11" s="293" t="s">
        <v>57</v>
      </c>
      <c r="B11" s="281">
        <v>500</v>
      </c>
      <c r="C11" s="399">
        <f>(y!I57+y!I62)/2000</f>
        <v>-25.805105</v>
      </c>
      <c r="D11" s="282">
        <v>27.5</v>
      </c>
      <c r="E11" s="294">
        <f>(D11+C11)*B11</f>
        <v>847.4474999999994</v>
      </c>
      <c r="F11" s="293" t="s">
        <v>57</v>
      </c>
      <c r="G11" s="281">
        <v>300</v>
      </c>
      <c r="H11" s="399">
        <f>(y!I57+y!I62)/2000</f>
        <v>-25.805105</v>
      </c>
      <c r="I11" s="282">
        <v>28</v>
      </c>
      <c r="J11" s="294">
        <f>(I11+H11)*G11</f>
        <v>658.4684999999997</v>
      </c>
      <c r="K11" s="293" t="s">
        <v>57</v>
      </c>
      <c r="L11" s="281">
        <v>300</v>
      </c>
      <c r="M11" s="399">
        <f>(y!I57+y!I62)/2000</f>
        <v>-25.805105</v>
      </c>
      <c r="N11" s="282">
        <v>27.75</v>
      </c>
      <c r="O11" s="294">
        <f>(N11+M11)*L11</f>
        <v>583.4684999999997</v>
      </c>
      <c r="P11" s="480"/>
      <c r="Q11" s="281"/>
      <c r="R11" s="281"/>
      <c r="S11" s="281"/>
      <c r="T11" s="481"/>
      <c r="U11" s="293"/>
      <c r="V11" s="281"/>
      <c r="W11" s="281"/>
      <c r="X11" s="281"/>
      <c r="Y11" s="481"/>
      <c r="Z11" s="293"/>
      <c r="AA11" s="281"/>
      <c r="AB11" s="281"/>
      <c r="AC11" s="281"/>
      <c r="AD11" s="481"/>
      <c r="AE11" s="293"/>
      <c r="AF11" s="281"/>
      <c r="AG11" s="281"/>
      <c r="AH11" s="281"/>
      <c r="AI11" s="481"/>
      <c r="AJ11" s="293"/>
      <c r="AK11" s="281"/>
      <c r="AL11" s="281"/>
      <c r="AM11" s="281"/>
      <c r="AN11" s="481"/>
      <c r="AO11" s="293"/>
      <c r="AP11" s="281"/>
      <c r="AQ11" s="281"/>
      <c r="AR11" s="281"/>
      <c r="AS11" s="481"/>
      <c r="AT11" s="293"/>
      <c r="AU11" s="281"/>
      <c r="AV11" s="281"/>
      <c r="AW11" s="281"/>
      <c r="AX11" s="482"/>
      <c r="AY11" s="293"/>
      <c r="AZ11" s="281"/>
      <c r="BA11" s="281"/>
      <c r="BB11" s="281"/>
      <c r="BC11" s="482"/>
      <c r="BD11" s="293"/>
      <c r="BE11" s="281"/>
      <c r="BF11" s="281"/>
      <c r="BG11" s="281"/>
      <c r="BH11" s="482"/>
      <c r="BI11" s="293"/>
      <c r="BJ11" s="281"/>
      <c r="BK11" s="281"/>
      <c r="BL11" s="281"/>
      <c r="BM11" s="481"/>
      <c r="BN11" s="293"/>
      <c r="BO11" s="281"/>
      <c r="BP11" s="281"/>
      <c r="BQ11" s="281"/>
      <c r="BR11" s="481"/>
      <c r="BS11" s="293"/>
      <c r="BT11" s="281"/>
      <c r="BU11" s="281"/>
      <c r="BV11" s="281"/>
      <c r="BW11" s="481"/>
      <c r="BX11" s="293"/>
      <c r="BY11" s="281"/>
      <c r="BZ11" s="281"/>
      <c r="CA11" s="281"/>
      <c r="CB11" s="482"/>
      <c r="CC11" s="293"/>
      <c r="CD11" s="281"/>
      <c r="CE11" s="281"/>
      <c r="CF11" s="281"/>
      <c r="CG11" s="482"/>
      <c r="CH11" s="293"/>
      <c r="CI11" s="281"/>
      <c r="CJ11" s="281"/>
      <c r="CK11" s="281"/>
      <c r="CL11" s="482"/>
      <c r="CM11" s="293"/>
      <c r="CN11" s="281"/>
      <c r="CO11" s="281"/>
      <c r="CP11" s="281"/>
      <c r="CQ11" s="482"/>
      <c r="CR11" s="293"/>
      <c r="CS11" s="281"/>
      <c r="CT11" s="281"/>
      <c r="CU11" s="281"/>
      <c r="CV11" s="482"/>
      <c r="CW11" s="293"/>
      <c r="CX11" s="281"/>
      <c r="CY11" s="281"/>
      <c r="CZ11" s="281"/>
      <c r="DA11" s="482"/>
      <c r="DB11" s="293"/>
      <c r="DC11" s="281"/>
      <c r="DD11" s="281"/>
      <c r="DE11" s="281"/>
      <c r="DF11" s="482"/>
      <c r="DG11" s="293"/>
      <c r="DH11" s="281"/>
      <c r="DI11" s="281"/>
      <c r="DJ11" s="281"/>
      <c r="DK11" s="482"/>
      <c r="DL11" s="293"/>
      <c r="DM11" s="281"/>
      <c r="DN11" s="281"/>
      <c r="DO11" s="281"/>
      <c r="DP11" s="482"/>
      <c r="DQ11" s="293"/>
      <c r="DR11" s="281"/>
      <c r="DS11" s="281"/>
      <c r="DT11" s="281"/>
      <c r="DU11" s="482"/>
      <c r="DV11" s="293"/>
      <c r="DW11" s="281"/>
      <c r="DX11" s="281"/>
      <c r="DY11" s="281"/>
      <c r="DZ11" s="482"/>
      <c r="EA11" s="293" t="s">
        <v>100</v>
      </c>
      <c r="EB11" s="281">
        <v>100</v>
      </c>
      <c r="EC11" s="495">
        <f>y!$I$113/100</f>
        <v>-29.312595</v>
      </c>
      <c r="ED11" s="281">
        <v>29.25</v>
      </c>
      <c r="EE11" s="496">
        <f>(ED11+EC11)*EB11</f>
        <v>-6.259500000000173</v>
      </c>
    </row>
    <row r="12" spans="1:135" s="463" customFormat="1" ht="21.75">
      <c r="A12" s="455"/>
      <c r="B12" s="314"/>
      <c r="C12" s="314"/>
      <c r="D12" s="314"/>
      <c r="E12" s="330"/>
      <c r="F12" s="329"/>
      <c r="G12" s="314"/>
      <c r="H12" s="314"/>
      <c r="I12" s="314"/>
      <c r="J12" s="330"/>
      <c r="K12" s="455"/>
      <c r="L12" s="314"/>
      <c r="M12" s="314"/>
      <c r="N12" s="314"/>
      <c r="O12" s="330"/>
      <c r="P12" s="483"/>
      <c r="Q12" s="314"/>
      <c r="R12" s="314"/>
      <c r="S12" s="314"/>
      <c r="T12" s="484"/>
      <c r="U12" s="455"/>
      <c r="V12" s="314"/>
      <c r="W12" s="314"/>
      <c r="X12" s="314"/>
      <c r="Y12" s="484"/>
      <c r="Z12" s="455"/>
      <c r="AA12" s="314"/>
      <c r="AB12" s="314"/>
      <c r="AC12" s="314"/>
      <c r="AD12" s="484"/>
      <c r="AE12" s="455"/>
      <c r="AF12" s="314"/>
      <c r="AG12" s="314"/>
      <c r="AH12" s="314"/>
      <c r="AI12" s="484"/>
      <c r="AJ12" s="455"/>
      <c r="AK12" s="314"/>
      <c r="AL12" s="314"/>
      <c r="AM12" s="314"/>
      <c r="AN12" s="484"/>
      <c r="AO12" s="455"/>
      <c r="AP12" s="314"/>
      <c r="AQ12" s="314"/>
      <c r="AR12" s="314"/>
      <c r="AS12" s="484"/>
      <c r="AT12" s="455"/>
      <c r="AU12" s="314"/>
      <c r="AV12" s="314"/>
      <c r="AW12" s="314"/>
      <c r="AX12" s="330"/>
      <c r="AY12" s="455"/>
      <c r="AZ12" s="314"/>
      <c r="BA12" s="314"/>
      <c r="BB12" s="314"/>
      <c r="BC12" s="330"/>
      <c r="BD12" s="455"/>
      <c r="BE12" s="314"/>
      <c r="BF12" s="314"/>
      <c r="BG12" s="314"/>
      <c r="BH12" s="330"/>
      <c r="BI12" s="455"/>
      <c r="BJ12" s="314"/>
      <c r="BK12" s="314"/>
      <c r="BL12" s="314"/>
      <c r="BM12" s="484"/>
      <c r="BN12" s="455"/>
      <c r="BO12" s="314"/>
      <c r="BP12" s="314"/>
      <c r="BQ12" s="314"/>
      <c r="BR12" s="484"/>
      <c r="BS12" s="455"/>
      <c r="BT12" s="314"/>
      <c r="BU12" s="314"/>
      <c r="BV12" s="314"/>
      <c r="BW12" s="484"/>
      <c r="BX12" s="455"/>
      <c r="BY12" s="314"/>
      <c r="BZ12" s="314"/>
      <c r="CA12" s="314"/>
      <c r="CB12" s="330"/>
      <c r="CC12" s="455"/>
      <c r="CD12" s="314"/>
      <c r="CE12" s="314"/>
      <c r="CF12" s="314"/>
      <c r="CG12" s="330"/>
      <c r="CH12" s="455"/>
      <c r="CI12" s="314"/>
      <c r="CJ12" s="314"/>
      <c r="CK12" s="314"/>
      <c r="CL12" s="330"/>
      <c r="CM12" s="455"/>
      <c r="CN12" s="314"/>
      <c r="CO12" s="314"/>
      <c r="CP12" s="314"/>
      <c r="CQ12" s="330"/>
      <c r="CR12" s="455"/>
      <c r="CS12" s="314"/>
      <c r="CT12" s="314"/>
      <c r="CU12" s="314"/>
      <c r="CV12" s="330"/>
      <c r="CW12" s="455"/>
      <c r="CX12" s="314"/>
      <c r="CY12" s="314"/>
      <c r="CZ12" s="314"/>
      <c r="DA12" s="330"/>
      <c r="DB12" s="455"/>
      <c r="DC12" s="314"/>
      <c r="DD12" s="314"/>
      <c r="DE12" s="314"/>
      <c r="DF12" s="330"/>
      <c r="DG12" s="455" t="s">
        <v>57</v>
      </c>
      <c r="DH12" s="314">
        <v>1000</v>
      </c>
      <c r="DI12" s="457">
        <f>y!$I$109/1000</f>
        <v>-28.059919999999998</v>
      </c>
      <c r="DJ12" s="494">
        <v>28</v>
      </c>
      <c r="DK12" s="456">
        <f>(DJ12+DI12)*DH12</f>
        <v>-59.9199999999982</v>
      </c>
      <c r="DL12" s="455" t="s">
        <v>57</v>
      </c>
      <c r="DM12" s="314">
        <v>1200</v>
      </c>
      <c r="DN12" s="457">
        <f>(y!$I$109+y!$I$110)/1200</f>
        <v>-27.976408333333335</v>
      </c>
      <c r="DO12" s="494">
        <v>27</v>
      </c>
      <c r="DP12" s="456">
        <f>(DO12+DN12)*DM12</f>
        <v>-1171.6900000000023</v>
      </c>
      <c r="DQ12" s="455" t="s">
        <v>57</v>
      </c>
      <c r="DR12" s="314">
        <v>1200</v>
      </c>
      <c r="DS12" s="457">
        <f>(y!$I$109+y!$I$110)/1200</f>
        <v>-27.976408333333335</v>
      </c>
      <c r="DT12" s="494">
        <v>26.25</v>
      </c>
      <c r="DU12" s="456">
        <f>(DT12+DS12)*DR12</f>
        <v>-2071.6900000000023</v>
      </c>
      <c r="DV12" s="455" t="s">
        <v>57</v>
      </c>
      <c r="DW12" s="314">
        <v>1800</v>
      </c>
      <c r="DX12" s="457">
        <f>(y!$I$109+y!$I$110+y!$I112)/1800</f>
        <v>-27.586687222222224</v>
      </c>
      <c r="DY12" s="494">
        <v>26.75</v>
      </c>
      <c r="DZ12" s="456">
        <f>(DY12+DX12)*DW12</f>
        <v>-1506.0370000000034</v>
      </c>
      <c r="EA12" s="455" t="s">
        <v>57</v>
      </c>
      <c r="EB12" s="314">
        <v>1800</v>
      </c>
      <c r="EC12" s="457">
        <f>(y!$I$109+y!$I$110+y!$I112)/1800</f>
        <v>-27.586687222222224</v>
      </c>
      <c r="ED12" s="494">
        <v>27.5</v>
      </c>
      <c r="EE12" s="456">
        <f>(ED12+EC12)*EB12</f>
        <v>-156.03700000000345</v>
      </c>
    </row>
    <row r="13" spans="1:135" s="463" customFormat="1" ht="21.75">
      <c r="A13" s="386"/>
      <c r="B13" s="310"/>
      <c r="C13" s="310"/>
      <c r="D13" s="310"/>
      <c r="E13" s="320"/>
      <c r="F13" s="319"/>
      <c r="G13" s="310"/>
      <c r="H13" s="310"/>
      <c r="I13" s="310"/>
      <c r="J13" s="320"/>
      <c r="K13" s="386"/>
      <c r="L13" s="310"/>
      <c r="M13" s="310"/>
      <c r="N13" s="310"/>
      <c r="O13" s="320"/>
      <c r="P13" s="466"/>
      <c r="Q13" s="310"/>
      <c r="R13" s="310"/>
      <c r="S13" s="310"/>
      <c r="T13" s="467"/>
      <c r="U13" s="386"/>
      <c r="V13" s="310"/>
      <c r="W13" s="310"/>
      <c r="X13" s="310"/>
      <c r="Y13" s="467"/>
      <c r="Z13" s="386"/>
      <c r="AA13" s="310"/>
      <c r="AB13" s="310"/>
      <c r="AC13" s="310"/>
      <c r="AD13" s="467"/>
      <c r="AE13" s="386"/>
      <c r="AF13" s="310"/>
      <c r="AG13" s="310"/>
      <c r="AH13" s="310"/>
      <c r="AI13" s="467"/>
      <c r="AJ13" s="386"/>
      <c r="AK13" s="310"/>
      <c r="AL13" s="310"/>
      <c r="AM13" s="310"/>
      <c r="AN13" s="467"/>
      <c r="AO13" s="386"/>
      <c r="AP13" s="310"/>
      <c r="AQ13" s="310"/>
      <c r="AR13" s="310"/>
      <c r="AS13" s="467"/>
      <c r="AT13" s="386"/>
      <c r="AU13" s="310"/>
      <c r="AV13" s="310"/>
      <c r="AW13" s="310"/>
      <c r="AX13" s="320"/>
      <c r="AY13" s="386"/>
      <c r="AZ13" s="310"/>
      <c r="BA13" s="310"/>
      <c r="BB13" s="310"/>
      <c r="BC13" s="320"/>
      <c r="BD13" s="386"/>
      <c r="BE13" s="310"/>
      <c r="BF13" s="310"/>
      <c r="BG13" s="310"/>
      <c r="BH13" s="320"/>
      <c r="BI13" s="386"/>
      <c r="BJ13" s="310"/>
      <c r="BK13" s="310"/>
      <c r="BL13" s="310"/>
      <c r="BM13" s="467"/>
      <c r="BN13" s="386"/>
      <c r="BO13" s="310"/>
      <c r="BP13" s="310"/>
      <c r="BQ13" s="310"/>
      <c r="BR13" s="467"/>
      <c r="BS13" s="386"/>
      <c r="BT13" s="310"/>
      <c r="BU13" s="310"/>
      <c r="BV13" s="310"/>
      <c r="BW13" s="467"/>
      <c r="BX13" s="386"/>
      <c r="BY13" s="310"/>
      <c r="BZ13" s="310"/>
      <c r="CA13" s="310"/>
      <c r="CB13" s="320"/>
      <c r="CC13" s="386"/>
      <c r="CD13" s="310"/>
      <c r="CE13" s="310"/>
      <c r="CF13" s="310"/>
      <c r="CG13" s="320"/>
      <c r="CH13" s="386"/>
      <c r="CI13" s="310"/>
      <c r="CJ13" s="310"/>
      <c r="CK13" s="310"/>
      <c r="CL13" s="320"/>
      <c r="CM13" s="386"/>
      <c r="CN13" s="310"/>
      <c r="CO13" s="310"/>
      <c r="CP13" s="310"/>
      <c r="CQ13" s="320"/>
      <c r="CR13" s="386"/>
      <c r="CS13" s="310"/>
      <c r="CT13" s="310"/>
      <c r="CU13" s="310"/>
      <c r="CV13" s="320"/>
      <c r="CW13" s="386"/>
      <c r="CX13" s="310"/>
      <c r="CY13" s="310"/>
      <c r="CZ13" s="310"/>
      <c r="DA13" s="320"/>
      <c r="DB13" s="386"/>
      <c r="DC13" s="310"/>
      <c r="DD13" s="310"/>
      <c r="DE13" s="310"/>
      <c r="DF13" s="320"/>
      <c r="DG13" s="386"/>
      <c r="DH13" s="310"/>
      <c r="DI13" s="310"/>
      <c r="DJ13" s="310"/>
      <c r="DK13" s="320"/>
      <c r="DL13" s="386"/>
      <c r="DM13" s="310"/>
      <c r="DN13" s="310"/>
      <c r="DO13" s="310"/>
      <c r="DP13" s="320"/>
      <c r="DQ13" s="386"/>
      <c r="DR13" s="310"/>
      <c r="DS13" s="310"/>
      <c r="DT13" s="310"/>
      <c r="DU13" s="320"/>
      <c r="DV13" s="386"/>
      <c r="DW13" s="310"/>
      <c r="DX13" s="310"/>
      <c r="DY13" s="310"/>
      <c r="DZ13" s="320"/>
      <c r="EA13" s="386"/>
      <c r="EB13" s="310"/>
      <c r="EC13" s="310"/>
      <c r="ED13" s="310"/>
      <c r="EE13" s="320"/>
    </row>
    <row r="14" spans="1:135" s="463" customFormat="1" ht="21.75">
      <c r="A14" s="485"/>
      <c r="B14" s="315"/>
      <c r="C14" s="315"/>
      <c r="D14" s="315"/>
      <c r="E14" s="332"/>
      <c r="F14" s="331"/>
      <c r="G14" s="315"/>
      <c r="H14" s="315"/>
      <c r="I14" s="315"/>
      <c r="J14" s="332"/>
      <c r="K14" s="485"/>
      <c r="L14" s="315"/>
      <c r="M14" s="315"/>
      <c r="N14" s="315"/>
      <c r="O14" s="332"/>
      <c r="P14" s="486"/>
      <c r="Q14" s="315"/>
      <c r="R14" s="315"/>
      <c r="S14" s="315"/>
      <c r="T14" s="487"/>
      <c r="U14" s="485"/>
      <c r="V14" s="315"/>
      <c r="W14" s="315"/>
      <c r="X14" s="315"/>
      <c r="Y14" s="487"/>
      <c r="Z14" s="485"/>
      <c r="AA14" s="315"/>
      <c r="AB14" s="315"/>
      <c r="AC14" s="315"/>
      <c r="AD14" s="487"/>
      <c r="AE14" s="485"/>
      <c r="AF14" s="315"/>
      <c r="AG14" s="315"/>
      <c r="AH14" s="315"/>
      <c r="AI14" s="487"/>
      <c r="AJ14" s="485"/>
      <c r="AK14" s="315"/>
      <c r="AL14" s="315"/>
      <c r="AM14" s="315"/>
      <c r="AN14" s="487"/>
      <c r="AO14" s="485"/>
      <c r="AP14" s="315"/>
      <c r="AQ14" s="315"/>
      <c r="AR14" s="315"/>
      <c r="AS14" s="487"/>
      <c r="AT14" s="485"/>
      <c r="AU14" s="315"/>
      <c r="AV14" s="315"/>
      <c r="AW14" s="315"/>
      <c r="AX14" s="332"/>
      <c r="AY14" s="485"/>
      <c r="AZ14" s="315"/>
      <c r="BA14" s="315"/>
      <c r="BB14" s="315"/>
      <c r="BC14" s="332"/>
      <c r="BD14" s="485"/>
      <c r="BE14" s="315"/>
      <c r="BF14" s="315"/>
      <c r="BG14" s="315"/>
      <c r="BH14" s="332"/>
      <c r="BI14" s="485"/>
      <c r="BJ14" s="315"/>
      <c r="BK14" s="315"/>
      <c r="BL14" s="315"/>
      <c r="BM14" s="487"/>
      <c r="BN14" s="485"/>
      <c r="BO14" s="315"/>
      <c r="BP14" s="315"/>
      <c r="BQ14" s="315"/>
      <c r="BR14" s="487"/>
      <c r="BS14" s="485"/>
      <c r="BT14" s="315"/>
      <c r="BU14" s="315"/>
      <c r="BV14" s="315"/>
      <c r="BW14" s="487"/>
      <c r="BX14" s="485"/>
      <c r="BY14" s="315"/>
      <c r="BZ14" s="315"/>
      <c r="CA14" s="315"/>
      <c r="CB14" s="332"/>
      <c r="CC14" s="485"/>
      <c r="CD14" s="315"/>
      <c r="CE14" s="315"/>
      <c r="CF14" s="315"/>
      <c r="CG14" s="332"/>
      <c r="CH14" s="485"/>
      <c r="CI14" s="315"/>
      <c r="CJ14" s="315"/>
      <c r="CK14" s="315"/>
      <c r="CL14" s="332"/>
      <c r="CM14" s="485"/>
      <c r="CN14" s="315"/>
      <c r="CO14" s="315"/>
      <c r="CP14" s="315"/>
      <c r="CQ14" s="332"/>
      <c r="CR14" s="485"/>
      <c r="CS14" s="315"/>
      <c r="CT14" s="315"/>
      <c r="CU14" s="315"/>
      <c r="CV14" s="332"/>
      <c r="CW14" s="485"/>
      <c r="CX14" s="315"/>
      <c r="CY14" s="315"/>
      <c r="CZ14" s="315"/>
      <c r="DA14" s="332"/>
      <c r="DB14" s="485"/>
      <c r="DC14" s="315"/>
      <c r="DD14" s="315"/>
      <c r="DE14" s="315"/>
      <c r="DF14" s="332"/>
      <c r="DG14" s="485"/>
      <c r="DH14" s="315"/>
      <c r="DI14" s="315"/>
      <c r="DJ14" s="315"/>
      <c r="DK14" s="332"/>
      <c r="DL14" s="485"/>
      <c r="DM14" s="315"/>
      <c r="DN14" s="315"/>
      <c r="DO14" s="315"/>
      <c r="DP14" s="332"/>
      <c r="DQ14" s="485"/>
      <c r="DR14" s="315"/>
      <c r="DS14" s="315"/>
      <c r="DT14" s="315"/>
      <c r="DU14" s="332"/>
      <c r="DV14" s="485"/>
      <c r="DW14" s="315"/>
      <c r="DX14" s="315"/>
      <c r="DY14" s="315"/>
      <c r="DZ14" s="332"/>
      <c r="EA14" s="485"/>
      <c r="EB14" s="315"/>
      <c r="EC14" s="315"/>
      <c r="ED14" s="315"/>
      <c r="EE14" s="332"/>
    </row>
    <row r="15" spans="1:135" s="463" customFormat="1" ht="21.75">
      <c r="A15" s="295" t="s">
        <v>27</v>
      </c>
      <c r="B15" s="278">
        <v>600</v>
      </c>
      <c r="C15" s="279">
        <f>(((-32.12)*300)+y!I68)/600</f>
        <v>-34.59959</v>
      </c>
      <c r="D15" s="280">
        <v>38</v>
      </c>
      <c r="E15" s="296">
        <f>(D15+C15)*B15</f>
        <v>2040.2460000000005</v>
      </c>
      <c r="F15" s="295" t="s">
        <v>27</v>
      </c>
      <c r="G15" s="278">
        <v>600</v>
      </c>
      <c r="H15" s="279">
        <f>(((-32.12)*300)+y!I68)/600</f>
        <v>-34.59959</v>
      </c>
      <c r="I15" s="280">
        <v>37.5</v>
      </c>
      <c r="J15" s="296">
        <f>(I15+H15)*G15</f>
        <v>1740.2460000000005</v>
      </c>
      <c r="K15" s="295" t="s">
        <v>27</v>
      </c>
      <c r="L15" s="278">
        <v>600</v>
      </c>
      <c r="M15" s="279">
        <f>(((-32.12)*300)+y!I68)/600</f>
        <v>-34.59959</v>
      </c>
      <c r="N15" s="280">
        <v>35.5</v>
      </c>
      <c r="O15" s="296">
        <f>(N15+M15)*L15</f>
        <v>540.2460000000005</v>
      </c>
      <c r="P15" s="402" t="s">
        <v>27</v>
      </c>
      <c r="Q15" s="278">
        <v>600</v>
      </c>
      <c r="R15" s="279">
        <f>(((-32.12)*300)+y!I68)/600</f>
        <v>-34.59959</v>
      </c>
      <c r="S15" s="280">
        <v>35.75</v>
      </c>
      <c r="T15" s="357">
        <f>(S15+R15)*Q15</f>
        <v>690.2460000000005</v>
      </c>
      <c r="U15" s="295" t="s">
        <v>27</v>
      </c>
      <c r="V15" s="278">
        <v>600</v>
      </c>
      <c r="W15" s="279">
        <f>(((-32.12)*300)+y!I68)/600</f>
        <v>-34.59959</v>
      </c>
      <c r="X15" s="280">
        <v>37.25</v>
      </c>
      <c r="Y15" s="357">
        <f>(X15+W15)*V15</f>
        <v>1590.2460000000005</v>
      </c>
      <c r="Z15" s="488"/>
      <c r="AA15" s="489"/>
      <c r="AB15" s="489"/>
      <c r="AC15" s="489"/>
      <c r="AD15" s="490"/>
      <c r="AE15" s="488"/>
      <c r="AF15" s="489"/>
      <c r="AG15" s="489"/>
      <c r="AH15" s="489"/>
      <c r="AI15" s="490"/>
      <c r="AJ15" s="488"/>
      <c r="AK15" s="489"/>
      <c r="AL15" s="489"/>
      <c r="AM15" s="489"/>
      <c r="AN15" s="490"/>
      <c r="AO15" s="488"/>
      <c r="AP15" s="489"/>
      <c r="AQ15" s="489"/>
      <c r="AR15" s="489"/>
      <c r="AS15" s="490"/>
      <c r="AT15" s="488"/>
      <c r="AU15" s="489"/>
      <c r="AV15" s="489"/>
      <c r="AW15" s="489"/>
      <c r="AX15" s="491"/>
      <c r="AY15" s="488"/>
      <c r="AZ15" s="489"/>
      <c r="BA15" s="489"/>
      <c r="BB15" s="489"/>
      <c r="BC15" s="491"/>
      <c r="BD15" s="488"/>
      <c r="BE15" s="489"/>
      <c r="BF15" s="489"/>
      <c r="BG15" s="489"/>
      <c r="BH15" s="491"/>
      <c r="BI15" s="488"/>
      <c r="BJ15" s="489"/>
      <c r="BK15" s="489"/>
      <c r="BL15" s="489"/>
      <c r="BM15" s="490"/>
      <c r="BN15" s="488"/>
      <c r="BO15" s="489"/>
      <c r="BP15" s="489"/>
      <c r="BQ15" s="489"/>
      <c r="BR15" s="490"/>
      <c r="BS15" s="488"/>
      <c r="BT15" s="489"/>
      <c r="BU15" s="489"/>
      <c r="BV15" s="489"/>
      <c r="BW15" s="490"/>
      <c r="BX15" s="488"/>
      <c r="BY15" s="489"/>
      <c r="BZ15" s="489"/>
      <c r="CA15" s="489"/>
      <c r="CB15" s="491"/>
      <c r="CC15" s="488"/>
      <c r="CD15" s="489"/>
      <c r="CE15" s="489"/>
      <c r="CF15" s="489"/>
      <c r="CG15" s="491"/>
      <c r="CH15" s="488"/>
      <c r="CI15" s="489"/>
      <c r="CJ15" s="489"/>
      <c r="CK15" s="489"/>
      <c r="CL15" s="491"/>
      <c r="CM15" s="488"/>
      <c r="CN15" s="489"/>
      <c r="CO15" s="489"/>
      <c r="CP15" s="489"/>
      <c r="CQ15" s="491"/>
      <c r="CR15" s="488"/>
      <c r="CS15" s="489"/>
      <c r="CT15" s="489"/>
      <c r="CU15" s="489"/>
      <c r="CV15" s="491"/>
      <c r="CW15" s="488"/>
      <c r="CX15" s="489"/>
      <c r="CY15" s="489"/>
      <c r="CZ15" s="489"/>
      <c r="DA15" s="491"/>
      <c r="DB15" s="488"/>
      <c r="DC15" s="489"/>
      <c r="DD15" s="489"/>
      <c r="DE15" s="489"/>
      <c r="DF15" s="491"/>
      <c r="DG15" s="488"/>
      <c r="DH15" s="489"/>
      <c r="DI15" s="489"/>
      <c r="DJ15" s="489"/>
      <c r="DK15" s="491"/>
      <c r="DL15" s="488"/>
      <c r="DM15" s="489"/>
      <c r="DN15" s="489"/>
      <c r="DO15" s="489"/>
      <c r="DP15" s="491"/>
      <c r="DQ15" s="488"/>
      <c r="DR15" s="489"/>
      <c r="DS15" s="489"/>
      <c r="DT15" s="489"/>
      <c r="DU15" s="491"/>
      <c r="DV15" s="488"/>
      <c r="DW15" s="489"/>
      <c r="DX15" s="489"/>
      <c r="DY15" s="489"/>
      <c r="DZ15" s="491"/>
      <c r="EA15" s="488"/>
      <c r="EB15" s="489"/>
      <c r="EC15" s="489"/>
      <c r="ED15" s="489"/>
      <c r="EE15" s="491"/>
    </row>
    <row r="16" spans="1:135" s="463" customFormat="1" ht="21.75">
      <c r="A16" s="415"/>
      <c r="B16" s="316"/>
      <c r="C16" s="316"/>
      <c r="D16" s="316"/>
      <c r="E16" s="334"/>
      <c r="F16" s="333"/>
      <c r="G16" s="316"/>
      <c r="H16" s="316"/>
      <c r="I16" s="316"/>
      <c r="J16" s="334"/>
      <c r="K16" s="415"/>
      <c r="L16" s="316"/>
      <c r="M16" s="316"/>
      <c r="N16" s="316"/>
      <c r="O16" s="334"/>
      <c r="P16" s="492"/>
      <c r="Q16" s="316"/>
      <c r="R16" s="316"/>
      <c r="S16" s="316"/>
      <c r="T16" s="493"/>
      <c r="U16" s="415"/>
      <c r="V16" s="316"/>
      <c r="W16" s="316"/>
      <c r="X16" s="316"/>
      <c r="Y16" s="493"/>
      <c r="Z16" s="415"/>
      <c r="AA16" s="316"/>
      <c r="AB16" s="316"/>
      <c r="AC16" s="316"/>
      <c r="AD16" s="493"/>
      <c r="AE16" s="415"/>
      <c r="AF16" s="316"/>
      <c r="AG16" s="316"/>
      <c r="AH16" s="316"/>
      <c r="AI16" s="493"/>
      <c r="AJ16" s="415"/>
      <c r="AK16" s="316"/>
      <c r="AL16" s="316"/>
      <c r="AM16" s="316"/>
      <c r="AN16" s="493"/>
      <c r="AO16" s="415"/>
      <c r="AP16" s="316"/>
      <c r="AQ16" s="316"/>
      <c r="AR16" s="316"/>
      <c r="AS16" s="493"/>
      <c r="AT16" s="415"/>
      <c r="AU16" s="316"/>
      <c r="AV16" s="316"/>
      <c r="AW16" s="316"/>
      <c r="AX16" s="334"/>
      <c r="AY16" s="415"/>
      <c r="AZ16" s="316"/>
      <c r="BA16" s="316"/>
      <c r="BB16" s="316"/>
      <c r="BC16" s="334"/>
      <c r="BD16" s="415"/>
      <c r="BE16" s="316"/>
      <c r="BF16" s="316"/>
      <c r="BG16" s="316"/>
      <c r="BH16" s="334"/>
      <c r="BI16" s="415"/>
      <c r="BJ16" s="316"/>
      <c r="BK16" s="316"/>
      <c r="BL16" s="316"/>
      <c r="BM16" s="493"/>
      <c r="BN16" s="415"/>
      <c r="BO16" s="316"/>
      <c r="BP16" s="316"/>
      <c r="BQ16" s="316"/>
      <c r="BR16" s="493"/>
      <c r="BS16" s="415"/>
      <c r="BT16" s="316"/>
      <c r="BU16" s="316"/>
      <c r="BV16" s="316"/>
      <c r="BW16" s="493"/>
      <c r="BX16" s="415"/>
      <c r="BY16" s="316"/>
      <c r="BZ16" s="316"/>
      <c r="CA16" s="316"/>
      <c r="CB16" s="334"/>
      <c r="CC16" s="415"/>
      <c r="CD16" s="316"/>
      <c r="CE16" s="316"/>
      <c r="CF16" s="316"/>
      <c r="CG16" s="334"/>
      <c r="CH16" s="415" t="s">
        <v>57</v>
      </c>
      <c r="CI16" s="316">
        <v>500</v>
      </c>
      <c r="CJ16" s="416">
        <f>y!$I$101/500</f>
        <v>-28.059919999999998</v>
      </c>
      <c r="CK16" s="316">
        <v>28.75</v>
      </c>
      <c r="CL16" s="417">
        <f>(CK16+CJ16)*CI16</f>
        <v>345.0400000000009</v>
      </c>
      <c r="CM16" s="415" t="s">
        <v>57</v>
      </c>
      <c r="CN16" s="316">
        <v>500</v>
      </c>
      <c r="CO16" s="416">
        <f>y!$I$101/500</f>
        <v>-28.059919999999998</v>
      </c>
      <c r="CP16" s="432">
        <v>29.5</v>
      </c>
      <c r="CQ16" s="417">
        <f>(CP16+CO16)*CN16</f>
        <v>720.0400000000009</v>
      </c>
      <c r="CR16" s="415" t="s">
        <v>57</v>
      </c>
      <c r="CS16" s="316">
        <v>400</v>
      </c>
      <c r="CT16" s="416">
        <f>y!$I$101/500</f>
        <v>-28.059919999999998</v>
      </c>
      <c r="CU16" s="432">
        <v>30.5</v>
      </c>
      <c r="CV16" s="417">
        <f>(CU16+CT16)*CS16</f>
        <v>976.0320000000007</v>
      </c>
      <c r="CW16" s="415"/>
      <c r="CX16" s="316"/>
      <c r="CY16" s="416"/>
      <c r="CZ16" s="432"/>
      <c r="DA16" s="417"/>
      <c r="DB16" s="415"/>
      <c r="DC16" s="316"/>
      <c r="DD16" s="316"/>
      <c r="DE16" s="316"/>
      <c r="DF16" s="334"/>
      <c r="DG16" s="415"/>
      <c r="DH16" s="316"/>
      <c r="DI16" s="316"/>
      <c r="DJ16" s="316"/>
      <c r="DK16" s="334"/>
      <c r="DL16" s="415"/>
      <c r="DM16" s="316"/>
      <c r="DN16" s="316"/>
      <c r="DO16" s="316"/>
      <c r="DP16" s="334"/>
      <c r="DQ16" s="415"/>
      <c r="DR16" s="316"/>
      <c r="DS16" s="316"/>
      <c r="DT16" s="316"/>
      <c r="DU16" s="334"/>
      <c r="DV16" s="415"/>
      <c r="DW16" s="316"/>
      <c r="DX16" s="316"/>
      <c r="DY16" s="316"/>
      <c r="DZ16" s="334"/>
      <c r="EA16" s="415"/>
      <c r="EB16" s="316"/>
      <c r="EC16" s="316"/>
      <c r="ED16" s="316"/>
      <c r="EE16" s="334"/>
    </row>
    <row r="17" spans="1:135" ht="21.75">
      <c r="A17" s="297"/>
      <c r="B17" s="298"/>
      <c r="C17" s="298"/>
      <c r="D17" s="350" t="s">
        <v>17</v>
      </c>
      <c r="E17" s="354">
        <f>SUM(E3:E16)</f>
        <v>422.8445000000006</v>
      </c>
      <c r="F17" s="297"/>
      <c r="G17" s="298"/>
      <c r="H17" s="298"/>
      <c r="I17" s="350" t="s">
        <v>17</v>
      </c>
      <c r="J17" s="354">
        <f>SUM(J3:J16)</f>
        <v>2818.4955000000014</v>
      </c>
      <c r="K17" s="297"/>
      <c r="L17" s="298"/>
      <c r="M17" s="298"/>
      <c r="N17" s="350" t="s">
        <v>17</v>
      </c>
      <c r="O17" s="403">
        <f>SUM(O3:O16)</f>
        <v>-1717.4790000000035</v>
      </c>
      <c r="P17" s="298"/>
      <c r="Q17" s="298"/>
      <c r="R17" s="298"/>
      <c r="S17" s="350" t="s">
        <v>17</v>
      </c>
      <c r="T17" s="388">
        <f>SUM(T3:T16)</f>
        <v>-500.94750000000295</v>
      </c>
      <c r="U17" s="297"/>
      <c r="V17" s="298"/>
      <c r="W17" s="298"/>
      <c r="X17" s="350" t="s">
        <v>17</v>
      </c>
      <c r="Y17" s="368">
        <f>SUM(Y3:Y16)</f>
        <v>5626.796499999999</v>
      </c>
      <c r="Z17" s="297"/>
      <c r="AA17" s="298"/>
      <c r="AB17" s="298"/>
      <c r="AC17" s="350" t="s">
        <v>17</v>
      </c>
      <c r="AD17" s="368">
        <f>SUM(AD3:AD16)</f>
        <v>3025.560499999998</v>
      </c>
      <c r="AE17" s="297"/>
      <c r="AF17" s="298"/>
      <c r="AG17" s="298"/>
      <c r="AH17" s="350" t="s">
        <v>17</v>
      </c>
      <c r="AI17" s="358">
        <f>SUM(AI3:AI16)</f>
        <v>8711.550499999998</v>
      </c>
      <c r="AJ17" s="297"/>
      <c r="AK17" s="298"/>
      <c r="AL17" s="298"/>
      <c r="AM17" s="350" t="s">
        <v>17</v>
      </c>
      <c r="AN17" s="358">
        <f>SUM(AN3:AN16)</f>
        <v>6476.202499999998</v>
      </c>
      <c r="AO17" s="297"/>
      <c r="AP17" s="298"/>
      <c r="AQ17" s="298"/>
      <c r="AR17" s="350" t="s">
        <v>17</v>
      </c>
      <c r="AS17" s="368">
        <f>SUM(AS3:AS16)</f>
        <v>845.0237575757556</v>
      </c>
      <c r="AT17" s="297"/>
      <c r="AU17" s="298"/>
      <c r="AV17" s="298"/>
      <c r="AW17" s="350" t="s">
        <v>17</v>
      </c>
      <c r="AX17" s="389">
        <f>SUM(AX3:AX16)</f>
        <v>-250.244333333344</v>
      </c>
      <c r="AY17" s="297"/>
      <c r="AZ17" s="298"/>
      <c r="BA17" s="298"/>
      <c r="BB17" s="350" t="s">
        <v>17</v>
      </c>
      <c r="BC17" s="389">
        <f>SUM(BC3:BC16)</f>
        <v>-1093.49290909091</v>
      </c>
      <c r="BD17" s="297"/>
      <c r="BE17" s="298"/>
      <c r="BF17" s="298"/>
      <c r="BG17" s="350" t="s">
        <v>17</v>
      </c>
      <c r="BH17" s="391">
        <f>SUM(BH3:BH16)</f>
        <v>460.0620000000008</v>
      </c>
      <c r="BI17" s="297"/>
      <c r="BJ17" s="298"/>
      <c r="BK17" s="298"/>
      <c r="BL17" s="350" t="s">
        <v>17</v>
      </c>
      <c r="BM17" s="398">
        <f>SUM(BM3:BM16)</f>
        <v>-1636.8780000000002</v>
      </c>
      <c r="BN17" s="297"/>
      <c r="BO17" s="298"/>
      <c r="BP17" s="298"/>
      <c r="BQ17" s="350" t="s">
        <v>17</v>
      </c>
      <c r="BR17" s="398">
        <f>SUM(BR3:BR16)</f>
        <v>-1224.4030000000023</v>
      </c>
      <c r="BS17" s="297"/>
      <c r="BT17" s="298"/>
      <c r="BU17" s="298"/>
      <c r="BV17" s="350" t="s">
        <v>17</v>
      </c>
      <c r="BW17" s="388">
        <f>SUM(BW3:BW16)</f>
        <v>-1659.9379999999983</v>
      </c>
      <c r="BX17" s="297"/>
      <c r="BY17" s="298"/>
      <c r="BZ17" s="298"/>
      <c r="CA17" s="350" t="s">
        <v>17</v>
      </c>
      <c r="CB17" s="389">
        <f>SUM(CB3:CB16)</f>
        <v>-648.3239999999952</v>
      </c>
      <c r="CC17" s="297"/>
      <c r="CD17" s="298"/>
      <c r="CE17" s="298"/>
      <c r="CF17" s="350" t="s">
        <v>17</v>
      </c>
      <c r="CG17" s="354">
        <f>SUM(CG3:CG16)</f>
        <v>1392.87516666667</v>
      </c>
      <c r="CH17" s="297"/>
      <c r="CI17" s="298"/>
      <c r="CJ17" s="298"/>
      <c r="CK17" s="350" t="s">
        <v>17</v>
      </c>
      <c r="CL17" s="354">
        <f>SUM(CL3:CL16)</f>
        <v>3237.9151666666708</v>
      </c>
      <c r="CM17" s="297"/>
      <c r="CN17" s="298"/>
      <c r="CO17" s="298"/>
      <c r="CP17" s="350" t="s">
        <v>17</v>
      </c>
      <c r="CQ17" s="354">
        <f>SUM(CQ3:CQ16)</f>
        <v>2832.152666666669</v>
      </c>
      <c r="CR17" s="297"/>
      <c r="CS17" s="298"/>
      <c r="CT17" s="298"/>
      <c r="CU17" s="350" t="s">
        <v>17</v>
      </c>
      <c r="CV17" s="354">
        <f>SUM(CV3:CV16)</f>
        <v>3450.732666666669</v>
      </c>
      <c r="CW17" s="297"/>
      <c r="CX17" s="298"/>
      <c r="CY17" s="298"/>
      <c r="CZ17" s="350" t="s">
        <v>17</v>
      </c>
      <c r="DA17" s="354">
        <f>SUM(DA3:DA16)</f>
        <v>1351.0718333333357</v>
      </c>
      <c r="DB17" s="297"/>
      <c r="DC17" s="298"/>
      <c r="DD17" s="298"/>
      <c r="DE17" s="350" t="s">
        <v>17</v>
      </c>
      <c r="DF17" s="354">
        <f>SUM(DF3:DF16)</f>
        <v>1806.131833333336</v>
      </c>
      <c r="DG17" s="297"/>
      <c r="DH17" s="298"/>
      <c r="DI17" s="298"/>
      <c r="DJ17" s="350" t="s">
        <v>17</v>
      </c>
      <c r="DK17" s="354">
        <f>SUM(DK3:DK16)</f>
        <v>2496.211833333338</v>
      </c>
      <c r="DL17" s="297"/>
      <c r="DM17" s="298"/>
      <c r="DN17" s="298"/>
      <c r="DO17" s="350" t="s">
        <v>17</v>
      </c>
      <c r="DP17" s="403">
        <f>SUM(DP3:DP16)</f>
        <v>-1565.5581666666662</v>
      </c>
      <c r="DQ17" s="297"/>
      <c r="DR17" s="298"/>
      <c r="DS17" s="298"/>
      <c r="DT17" s="350" t="s">
        <v>17</v>
      </c>
      <c r="DU17" s="354">
        <f>SUM(DU3:DU16)</f>
        <v>1279.3818333333334</v>
      </c>
      <c r="DV17" s="297"/>
      <c r="DW17" s="298"/>
      <c r="DX17" s="298"/>
      <c r="DY17" s="350" t="s">
        <v>17</v>
      </c>
      <c r="DZ17" s="354">
        <f>SUM(DZ3:DZ16)</f>
        <v>595.0348333333322</v>
      </c>
      <c r="EA17" s="297"/>
      <c r="EB17" s="298"/>
      <c r="EC17" s="298"/>
      <c r="ED17" s="350" t="s">
        <v>17</v>
      </c>
      <c r="EE17" s="354">
        <f>SUM(EE3:EE16)</f>
        <v>2938.775333333332</v>
      </c>
    </row>
    <row r="18" spans="1:135" ht="21.75">
      <c r="A18" s="297"/>
      <c r="B18" s="298"/>
      <c r="C18" s="298"/>
      <c r="D18" s="350" t="s">
        <v>72</v>
      </c>
      <c r="E18" s="351">
        <f>(B3*D3)+(B4*D4)+(B5*D5)+(B6*D6)+(B7*D7)+(B8*D8)+(B9*D9)+(B10*D10)+(B11*D11)+(B12*D12)+(B13*D13)+(B14*D14)+(B15*D15)+(B16*D16)</f>
        <v>99575</v>
      </c>
      <c r="F18" s="297"/>
      <c r="G18" s="298"/>
      <c r="H18" s="298"/>
      <c r="I18" s="350" t="s">
        <v>72</v>
      </c>
      <c r="J18" s="351">
        <f>(G3*I3)+(G4*I4)+(G5*I5)+(G6*I6)+(G7*I7)+(G8*I8)+(G9*I9)+(G10*I10)+(G11*I11)+(G12*I12)+(G13*I13)+(G14*I14)+(G15*I15)+(G16*I16)</f>
        <v>92300</v>
      </c>
      <c r="K18" s="297"/>
      <c r="L18" s="298"/>
      <c r="M18" s="298"/>
      <c r="N18" s="350" t="s">
        <v>72</v>
      </c>
      <c r="O18" s="351">
        <f>(L3*N3)+(L4*N4)+(L5*N5)+(L6*N6)+(L7*N7)+(L8*N8)+(L9*N9)+(L10*N10)+(L11*N11)+(L12*N12)+(L13*N13)+(L14*N14)+(L15*N15)+(L16*N16)</f>
        <v>128025</v>
      </c>
      <c r="P18" s="298"/>
      <c r="Q18" s="298"/>
      <c r="R18" s="298"/>
      <c r="S18" s="350" t="s">
        <v>72</v>
      </c>
      <c r="T18" s="359">
        <f>(Q3*S3)+(Q4*S4)+(Q5*S5)+(Q6*S6)+(Q7*S7)+(Q8*S8)+(Q9*S9)+(Q10*S10)+(Q11*S11)+(Q12*S12)+(Q13*S13)+(Q14*S14)+(Q15*S15)+(Q16*S16)</f>
        <v>121500</v>
      </c>
      <c r="U18" s="297"/>
      <c r="V18" s="298"/>
      <c r="W18" s="298"/>
      <c r="X18" s="350" t="s">
        <v>72</v>
      </c>
      <c r="Y18" s="359">
        <f>(V3*X3)+(V4*X4)+(V5*X5)+(V6*X6)+(V7*X7)+(V8*X8)+(V9*X9)+(V10*X10)+(V11*X11)+(V12*X12)+(V13*X13)+(V14*X14)+(V15*X15)+(V16*X16)</f>
        <v>138050</v>
      </c>
      <c r="Z18" s="297"/>
      <c r="AA18" s="298"/>
      <c r="AB18" s="298"/>
      <c r="AC18" s="350" t="s">
        <v>72</v>
      </c>
      <c r="AD18" s="359">
        <f>(AA3*AC3)+(AA4*AC4)+(AA5*AC5)+(AA6*AC6)+(AA7*AC7)+(AA8*AC8)+(AA9*AC9)+(AA10*AC10)+(AA11*AC11)+(AA12*AC12)+(AA13*AC13)+(AA14*AC14)+(AA15*AC15)+(AA16*AC16)</f>
        <v>143250</v>
      </c>
      <c r="AE18" s="297"/>
      <c r="AF18" s="298"/>
      <c r="AG18" s="298"/>
      <c r="AH18" s="350" t="s">
        <v>72</v>
      </c>
      <c r="AI18" s="359">
        <f>(AF3*AH3)+(AF4*AH4)+(AF5*AH5)+(AF6*AH6)+(AF7*AH7)+(AF8*AH8)+(AF9*AH9)+(AF10*AH10)+(AF11*AH11)+(AF12*AH12)+(AF13*AH13)+(AF14*AH14)+(AF15*AH15)+(AF16*AH16)</f>
        <v>120375</v>
      </c>
      <c r="AJ18" s="297"/>
      <c r="AK18" s="298"/>
      <c r="AL18" s="298"/>
      <c r="AM18" s="350" t="s">
        <v>72</v>
      </c>
      <c r="AN18" s="359">
        <f>(AK3*AM3)+(AK4*AM4)+(AK5*AM5)+(AK6*AM6)+(AK7*AM7)+(AK8*AM8)+(AK9*AM9)+(AK10*AM10)+(AK11*AM11)+(AK12*AM12)+(AK13*AM13)+(AK14*AM14)+(AK15*AM15)+(AK16*AM16)</f>
        <v>146400</v>
      </c>
      <c r="AO18" s="297"/>
      <c r="AP18" s="298"/>
      <c r="AQ18" s="298"/>
      <c r="AR18" s="350" t="s">
        <v>72</v>
      </c>
      <c r="AS18" s="359">
        <f>(AP3*AR3)+(AP4*AR4)+(AP5*AR5)+(AP6*AR6)+(AP7*AR7)+(AP8*AR8)+(AP9*AR9)+(AP10*AR10)+(AP11*AR11)+(AP12*AR12)+(AP13*AR13)+(AP14*AR14)+(AP15*AR15)+(AP16*AR16)</f>
        <v>101800</v>
      </c>
      <c r="AT18" s="297"/>
      <c r="AU18" s="298"/>
      <c r="AV18" s="298"/>
      <c r="AW18" s="350" t="s">
        <v>72</v>
      </c>
      <c r="AX18" s="351">
        <f>(AU3*AW3)+(AU4*AW4)+(AU5*AW5)+(AU6*AW6)+(AU7*AW7)+(AU8*AW8)+(AU9*AW9)+(AU10*AW10)+(AU11*AW11)+(AU12*AW12)+(AU13*AW13)+(AU14*AW14)+(AU15*AW15)+(AU16*AW16)</f>
        <v>121950</v>
      </c>
      <c r="AY18" s="297"/>
      <c r="AZ18" s="298"/>
      <c r="BA18" s="298"/>
      <c r="BB18" s="350" t="s">
        <v>72</v>
      </c>
      <c r="BC18" s="351">
        <f>(AZ3*BB3)+(AZ4*BB4)+(AZ5*BB5)+(AZ6*BB6)+(AZ7*BB7)+(AZ8*BB8)+(AZ9*BB9)+(AZ10*BB10)+(AZ11*BB11)+(AZ12*BB12)+(AZ13*BB13)+(AZ14*BB14)+(AZ15*BB15)+(AZ16*BB16)</f>
        <v>97500</v>
      </c>
      <c r="BD18" s="297"/>
      <c r="BE18" s="298"/>
      <c r="BF18" s="298"/>
      <c r="BG18" s="350" t="s">
        <v>72</v>
      </c>
      <c r="BH18" s="351">
        <f>(BE3*BG3)+(BE4*BG4)+(BE5*BG5)+(BE6*BG6)+(BE7*BG7)+(BE8*BG8)+(BE9*BG9)+(BE10*BG10)+(BE11*BG11)+(BE12*BG12)+(BE13*BG13)+(BE14*BG14)+(BE15*BG15)+(BE16*BG16)</f>
        <v>83250</v>
      </c>
      <c r="BI18" s="297"/>
      <c r="BJ18" s="298"/>
      <c r="BK18" s="298"/>
      <c r="BL18" s="350" t="s">
        <v>72</v>
      </c>
      <c r="BM18" s="359">
        <f>(BJ3*BL3)+(BJ4*BL4)+(BJ5*BL5)+(BJ6*BL6)+(BJ7*BL7)+(BJ8*BL8)+(BJ9*BL9)+(BJ10*BL10)+(BJ11*BL11)+(BJ12*BL12)+(BJ13*BL13)+(BJ14*BL14)+(BJ15*BL15)+(BJ16*BL16)</f>
        <v>44800</v>
      </c>
      <c r="BN18" s="297"/>
      <c r="BO18" s="298"/>
      <c r="BP18" s="298"/>
      <c r="BQ18" s="350" t="s">
        <v>72</v>
      </c>
      <c r="BR18" s="359">
        <f>(BO3*BQ3)+(BO4*BQ4)+(BO5*BQ5)+(BO6*BQ6)+(BO7*BQ7)+(BO8*BQ8)+(BO9*BQ9)+(BO10*BQ10)+(BO11*BQ11)+(BO12*BQ12)+(BO13*BQ13)+(BO14*BQ14)+(BO15*BQ15)+(BO16*BQ16)</f>
        <v>63500</v>
      </c>
      <c r="BS18" s="297"/>
      <c r="BT18" s="298"/>
      <c r="BU18" s="298"/>
      <c r="BV18" s="350" t="s">
        <v>72</v>
      </c>
      <c r="BW18" s="359">
        <f>(BT3*BV3)+(BT4*BV4)+(BT5*BV5)+(BT6*BV6)+(BT7*BV7)+(BT8*BV8)+(BT9*BV9)+(BT10*BV10)+(BT11*BV11)+(BT12*BV12)+(BT13*BV13)+(BT14*BV14)+(BT15*BV15)+(BT16*BV16)</f>
        <v>81600</v>
      </c>
      <c r="BX18" s="297"/>
      <c r="BY18" s="298"/>
      <c r="BZ18" s="298"/>
      <c r="CA18" s="350" t="s">
        <v>72</v>
      </c>
      <c r="CB18" s="351">
        <f>(BY3*CA3)+(BY4*CA4)+(BY5*CA5)+(BY6*CA6)+(BY7*CA7)+(BY8*CA8)+(BY9*CA9)+(BY10*CA10)+(BY11*CA11)+(BY12*CA12)+(BY13*CA13)+(BY14*CA14)+(BY15*CA15)+(BY16*CA16)</f>
        <v>100750</v>
      </c>
      <c r="CC18" s="297"/>
      <c r="CD18" s="298"/>
      <c r="CE18" s="298"/>
      <c r="CF18" s="350" t="s">
        <v>72</v>
      </c>
      <c r="CG18" s="351">
        <f>(CD3*CF3)+(CD4*CF4)+(CD5*CF5)+(CD6*CF6)+(CD7*CF7)+(CD8*CF8)+(CD9*CF9)+(CD10*CF10)+(CD11*CF11)+(CD12*CF12)+(CD13*CF13)+(CD14*CF14)+(CD15*CF15)+(CD16*CF16)</f>
        <v>104125</v>
      </c>
      <c r="CH18" s="297"/>
      <c r="CI18" s="298"/>
      <c r="CJ18" s="298"/>
      <c r="CK18" s="350" t="s">
        <v>72</v>
      </c>
      <c r="CL18" s="351">
        <f>(CI3*CK3)+(CI4*CK4)+(CI5*CK5)+(CI6*CK6)+(CI7*CK7)+(CI8*CK8)+(CI9*CK9)+(CI10*CK10)+(CI11*CK11)+(CI12*CK12)+(CI13*CK13)+(CI14*CK14)+(CI15*CK15)+(CI16*CK16)</f>
        <v>120000</v>
      </c>
      <c r="CM18" s="297"/>
      <c r="CN18" s="298"/>
      <c r="CO18" s="298"/>
      <c r="CP18" s="350" t="s">
        <v>72</v>
      </c>
      <c r="CQ18" s="351">
        <f>(CN3*CP3)+(CN4*CP4)+(CN5*CP5)+(CN6*CP6)+(CN7*CP7)+(CN8*CP8)+(CN9*CP9)+(CN10*CP10)+(CN11*CP11)+(CN12*CP12)+(CN13*CP13)+(CN14*CP14)+(CN15*CP15)+(CN16*CP16)</f>
        <v>134000</v>
      </c>
      <c r="CR18" s="297"/>
      <c r="CS18" s="298"/>
      <c r="CT18" s="298"/>
      <c r="CU18" s="350" t="s">
        <v>72</v>
      </c>
      <c r="CV18" s="351">
        <f>(CS3*CU3)+(CS4*CU4)+(CS5*CU5)+(CS6*CU6)+(CS7*CU7)+(CS8*CU8)+(CS9*CU9)+(CS10*CU10)+(CS11*CU11)+(CS12*CU12)+(CS13*CU13)+(CS14*CU14)+(CS15*CU15)+(CS16*CU16)</f>
        <v>137625</v>
      </c>
      <c r="CW18" s="297"/>
      <c r="CX18" s="298"/>
      <c r="CY18" s="298"/>
      <c r="CZ18" s="350" t="s">
        <v>72</v>
      </c>
      <c r="DA18" s="351">
        <f>(CX3*CZ3)+(CX4*CZ4)+(CX5*CZ5)+(CX6*CZ6)+(CX7*CZ7)+(CX8*CZ8)+(CX9*CZ9)+(CX10*CZ10)+(CX11*CZ11)+(CX12*CZ12)+(CX13*CZ13)+(CX14*CZ14)+(CX15*CZ15)+(CX16*CZ16)</f>
        <v>85750</v>
      </c>
      <c r="DB18" s="297"/>
      <c r="DC18" s="298"/>
      <c r="DD18" s="298"/>
      <c r="DE18" s="350" t="s">
        <v>72</v>
      </c>
      <c r="DF18" s="351">
        <f>(DC3*DE3)+(DC4*DE4)+(DC5*DE5)+(DC6*DE6)+(DC7*DE7)+(DC8*DE8)+(DC9*DE9)+(DC10*DE10)+(DC11*DE11)+(DC12*DE12)+(DC13*DE13)+(DC14*DE14)+(DC15*DE15)+(DC16*DE16)</f>
        <v>107250</v>
      </c>
      <c r="DG18" s="297"/>
      <c r="DH18" s="298"/>
      <c r="DI18" s="298"/>
      <c r="DJ18" s="350" t="s">
        <v>72</v>
      </c>
      <c r="DK18" s="351">
        <f>(DH3*DJ3)+(DH4*DJ4)+(DH5*DJ5)+(DH6*DJ6)+(DH7*DJ7)+(DH8*DJ8)+(DH9*DJ9)+(DH10*DJ10)+(DH11*DJ11)+(DH12*DJ12)+(DH13*DJ13)+(DH14*DJ14)+(DH15*DJ15)+(DH16*DJ16)</f>
        <v>136000</v>
      </c>
      <c r="DL18" s="297"/>
      <c r="DM18" s="298"/>
      <c r="DN18" s="298"/>
      <c r="DO18" s="350" t="s">
        <v>72</v>
      </c>
      <c r="DP18" s="351">
        <f>(DM3*DO3)+(DM4*DO4)+(DM5*DO5)+(DM6*DO6)+(DM7*DO7)+(DM8*DO8)+(DM9*DO9)+(DM10*DO10)+(DM11*DO11)+(DM12*DO12)+(DM13*DO13)+(DM14*DO14)+(DM15*DO15)+(DM16*DO16)</f>
        <v>137450</v>
      </c>
      <c r="DQ18" s="297"/>
      <c r="DR18" s="298"/>
      <c r="DS18" s="298"/>
      <c r="DT18" s="350" t="s">
        <v>72</v>
      </c>
      <c r="DU18" s="351">
        <f>(DR3*DT3)+(DR4*DT4)+(DR5*DT5)+(DR6*DT6)+(DR7*DT7)+(DR8*DT8)+(DR9*DT9)+(DR10*DT10)+(DR11*DT11)+(DR12*DT12)+(DR13*DT13)+(DR14*DT14)+(DR15*DT15)+(DR16*DT16)</f>
        <v>119250</v>
      </c>
      <c r="DV18" s="297"/>
      <c r="DW18" s="298"/>
      <c r="DX18" s="298"/>
      <c r="DY18" s="350" t="s">
        <v>72</v>
      </c>
      <c r="DZ18" s="351">
        <f>(DW3*DY3)+(DW4*DY4)+(DW5*DY5)+(DW6*DY6)+(DW7*DY7)+(DW8*DY8)+(DW9*DY9)+(DW10*DY10)+(DW11*DY11)+(DW12*DY12)+(DW13*DY13)+(DW14*DY14)+(DW15*DY15)+(DW16*DY16)</f>
        <v>134650</v>
      </c>
      <c r="EA18" s="297"/>
      <c r="EB18" s="298"/>
      <c r="EC18" s="298"/>
      <c r="ED18" s="350" t="s">
        <v>72</v>
      </c>
      <c r="EE18" s="351">
        <f>(EB3*ED3)+(EB4*ED4)+(EB5*ED5)+(EB6*ED6)+(EB7*ED7)+(EB8*ED8)+(EB9*ED9)+(EB10*ED10)+(EB11*ED11)+(EB12*ED12)+(EB13*ED13)+(EB14*ED14)+(EB15*ED15)+(EB16*ED16)</f>
        <v>139925</v>
      </c>
    </row>
    <row r="19" spans="1:135" ht="21.75">
      <c r="A19" s="297"/>
      <c r="B19" s="298"/>
      <c r="C19" s="298"/>
      <c r="D19" s="350" t="s">
        <v>73</v>
      </c>
      <c r="E19" s="351">
        <f>y!K75</f>
        <v>44160.52570000003</v>
      </c>
      <c r="F19" s="297"/>
      <c r="G19" s="298"/>
      <c r="H19" s="298"/>
      <c r="I19" s="350" t="s">
        <v>73</v>
      </c>
      <c r="J19" s="351">
        <f>(y!K77)</f>
        <v>43390.73070000003</v>
      </c>
      <c r="K19" s="297"/>
      <c r="L19" s="298"/>
      <c r="M19" s="298"/>
      <c r="N19" s="350" t="s">
        <v>73</v>
      </c>
      <c r="O19" s="351">
        <f>(y!K81)</f>
        <v>3129.756200000029</v>
      </c>
      <c r="P19" s="298"/>
      <c r="Q19" s="298"/>
      <c r="R19" s="298"/>
      <c r="S19" s="350" t="s">
        <v>73</v>
      </c>
      <c r="T19" s="359">
        <f>(y!K82)</f>
        <v>11287.261700000028</v>
      </c>
      <c r="U19" s="297"/>
      <c r="V19" s="298"/>
      <c r="W19" s="298"/>
      <c r="X19" s="350" t="s">
        <v>73</v>
      </c>
      <c r="Y19" s="359">
        <f>y!K84</f>
        <v>865.0057000000288</v>
      </c>
      <c r="Z19" s="297"/>
      <c r="AA19" s="298"/>
      <c r="AB19" s="298"/>
      <c r="AC19" s="350" t="s">
        <v>73</v>
      </c>
      <c r="AD19" s="359">
        <f>y!K86</f>
        <v>1491.4207000000279</v>
      </c>
      <c r="AE19" s="297"/>
      <c r="AF19" s="298"/>
      <c r="AG19" s="298"/>
      <c r="AH19" s="350" t="s">
        <v>73</v>
      </c>
      <c r="AI19" s="359">
        <f>y!K87</f>
        <v>31127.862700000027</v>
      </c>
      <c r="AJ19" s="297"/>
      <c r="AK19" s="298"/>
      <c r="AL19" s="298"/>
      <c r="AM19" s="350" t="s">
        <v>73</v>
      </c>
      <c r="AN19" s="359">
        <f>y!K88</f>
        <v>2867.514700000025</v>
      </c>
      <c r="AO19" s="297"/>
      <c r="AP19" s="298"/>
      <c r="AQ19" s="298"/>
      <c r="AR19" s="350" t="s">
        <v>73</v>
      </c>
      <c r="AS19" s="359">
        <f>y!K90</f>
        <v>43380.63070000002</v>
      </c>
      <c r="AT19" s="297"/>
      <c r="AU19" s="298"/>
      <c r="AV19" s="298"/>
      <c r="AW19" s="350" t="s">
        <v>73</v>
      </c>
      <c r="AX19" s="351">
        <f>y!K91</f>
        <v>22135.26270000002</v>
      </c>
      <c r="AY19" s="297"/>
      <c r="AZ19" s="298"/>
      <c r="BA19" s="298"/>
      <c r="BB19" s="350" t="s">
        <v>73</v>
      </c>
      <c r="BC19" s="351">
        <f>y!K93</f>
        <v>47102.36870000002</v>
      </c>
      <c r="BD19" s="297"/>
      <c r="BE19" s="298"/>
      <c r="BF19" s="298"/>
      <c r="BG19" s="350" t="s">
        <v>73</v>
      </c>
      <c r="BH19" s="351">
        <f>y!K94</f>
        <v>62968.34270000002</v>
      </c>
      <c r="BI19" s="297"/>
      <c r="BJ19" s="298"/>
      <c r="BK19" s="298"/>
      <c r="BL19" s="350" t="s">
        <v>73</v>
      </c>
      <c r="BM19" s="359">
        <f>y!K95</f>
        <v>90887.02270000003</v>
      </c>
      <c r="BN19" s="297"/>
      <c r="BO19" s="298"/>
      <c r="BP19" s="298"/>
      <c r="BQ19" s="350" t="s">
        <v>73</v>
      </c>
      <c r="BR19" s="359">
        <f>y!K96</f>
        <v>72597.96770000004</v>
      </c>
      <c r="BS19" s="297"/>
      <c r="BT19" s="298"/>
      <c r="BU19" s="298"/>
      <c r="BV19" s="350" t="s">
        <v>73</v>
      </c>
      <c r="BW19" s="359">
        <f>y!K97</f>
        <v>54058.37770000004</v>
      </c>
      <c r="BX19" s="297"/>
      <c r="BY19" s="298"/>
      <c r="BZ19" s="298"/>
      <c r="CA19" s="350" t="s">
        <v>73</v>
      </c>
      <c r="CB19" s="351">
        <f>y!$K98</f>
        <v>35919.643700000044</v>
      </c>
      <c r="CC19" s="297"/>
      <c r="CD19" s="298"/>
      <c r="CE19" s="298"/>
      <c r="CF19" s="350" t="s">
        <v>73</v>
      </c>
      <c r="CG19" s="351">
        <f>y!$K99</f>
        <v>35502.64620000005</v>
      </c>
      <c r="CH19" s="297"/>
      <c r="CI19" s="298"/>
      <c r="CJ19" s="298"/>
      <c r="CK19" s="350" t="s">
        <v>73</v>
      </c>
      <c r="CL19" s="351">
        <f>y!$K101</f>
        <v>21472.686200000047</v>
      </c>
      <c r="CM19" s="297"/>
      <c r="CN19" s="298"/>
      <c r="CO19" s="298"/>
      <c r="CP19" s="350" t="s">
        <v>73</v>
      </c>
      <c r="CQ19" s="351">
        <f>y!$K102</f>
        <v>7066.923700000047</v>
      </c>
      <c r="CR19" s="297"/>
      <c r="CS19" s="298"/>
      <c r="CT19" s="298"/>
      <c r="CU19" s="350" t="s">
        <v>73</v>
      </c>
      <c r="CV19" s="351">
        <f>y!$K104</f>
        <v>4297.984700000046</v>
      </c>
      <c r="CW19" s="297"/>
      <c r="CX19" s="298"/>
      <c r="CY19" s="298"/>
      <c r="CZ19" s="350" t="s">
        <v>73</v>
      </c>
      <c r="DA19" s="351">
        <f>y!$K107</f>
        <v>56535.95570000005</v>
      </c>
      <c r="DB19" s="297"/>
      <c r="DC19" s="298"/>
      <c r="DD19" s="298"/>
      <c r="DE19" s="350" t="s">
        <v>73</v>
      </c>
      <c r="DF19" s="351">
        <f>y!$K108</f>
        <v>35491.01570000005</v>
      </c>
      <c r="DG19" s="297"/>
      <c r="DH19" s="298"/>
      <c r="DI19" s="298"/>
      <c r="DJ19" s="350" t="s">
        <v>73</v>
      </c>
      <c r="DK19" s="351">
        <f>y!K109</f>
        <v>7431.095700000049</v>
      </c>
      <c r="DL19" s="297"/>
      <c r="DM19" s="298"/>
      <c r="DN19" s="298"/>
      <c r="DO19" s="350" t="s">
        <v>73</v>
      </c>
      <c r="DP19" s="351">
        <f>y!K110</f>
        <v>1919.3257000000485</v>
      </c>
      <c r="DQ19" s="297"/>
      <c r="DR19" s="298"/>
      <c r="DS19" s="298"/>
      <c r="DT19" s="350" t="s">
        <v>73</v>
      </c>
      <c r="DU19" s="351">
        <f>y!$K111</f>
        <v>23223.636700000046</v>
      </c>
      <c r="DV19" s="297"/>
      <c r="DW19" s="298"/>
      <c r="DX19" s="298"/>
      <c r="DY19" s="350" t="s">
        <v>73</v>
      </c>
      <c r="DZ19" s="351">
        <f>y!$K112</f>
        <v>7139.289700000047</v>
      </c>
      <c r="EA19" s="297"/>
      <c r="EB19" s="298"/>
      <c r="EC19" s="298"/>
      <c r="ED19" s="350" t="s">
        <v>73</v>
      </c>
      <c r="EE19" s="351">
        <f>y!$K113</f>
        <v>4208.0302000000465</v>
      </c>
    </row>
    <row r="20" spans="1:135" ht="22.5" thickBot="1">
      <c r="A20" s="299"/>
      <c r="B20" s="300"/>
      <c r="C20" s="300"/>
      <c r="D20" s="352" t="s">
        <v>74</v>
      </c>
      <c r="E20" s="353">
        <f>E18+E19</f>
        <v>143735.52570000003</v>
      </c>
      <c r="F20" s="299"/>
      <c r="G20" s="300"/>
      <c r="H20" s="300"/>
      <c r="I20" s="352" t="s">
        <v>74</v>
      </c>
      <c r="J20" s="353">
        <f>J18+J19</f>
        <v>135690.73070000001</v>
      </c>
      <c r="K20" s="299"/>
      <c r="L20" s="300"/>
      <c r="M20" s="300"/>
      <c r="N20" s="352" t="s">
        <v>74</v>
      </c>
      <c r="O20" s="353">
        <f>O18+O19</f>
        <v>131154.75620000003</v>
      </c>
      <c r="P20" s="300"/>
      <c r="Q20" s="300"/>
      <c r="R20" s="300"/>
      <c r="S20" s="352" t="s">
        <v>74</v>
      </c>
      <c r="T20" s="360">
        <f>T18+T19</f>
        <v>132787.26170000003</v>
      </c>
      <c r="U20" s="299"/>
      <c r="V20" s="300"/>
      <c r="W20" s="300"/>
      <c r="X20" s="352" t="s">
        <v>74</v>
      </c>
      <c r="Y20" s="360">
        <f>Y18+Y19</f>
        <v>138915.00570000004</v>
      </c>
      <c r="Z20" s="299"/>
      <c r="AA20" s="300"/>
      <c r="AB20" s="300"/>
      <c r="AC20" s="352" t="s">
        <v>74</v>
      </c>
      <c r="AD20" s="360">
        <f>AD18+AD19</f>
        <v>144741.42070000002</v>
      </c>
      <c r="AE20" s="299"/>
      <c r="AF20" s="300"/>
      <c r="AG20" s="300"/>
      <c r="AH20" s="352" t="s">
        <v>74</v>
      </c>
      <c r="AI20" s="360">
        <f>AI18+AI19</f>
        <v>151502.86270000003</v>
      </c>
      <c r="AJ20" s="299"/>
      <c r="AK20" s="300"/>
      <c r="AL20" s="300"/>
      <c r="AM20" s="352" t="s">
        <v>74</v>
      </c>
      <c r="AN20" s="360">
        <f>AN18+AN19</f>
        <v>149267.51470000003</v>
      </c>
      <c r="AO20" s="299"/>
      <c r="AP20" s="300"/>
      <c r="AQ20" s="300"/>
      <c r="AR20" s="352" t="s">
        <v>74</v>
      </c>
      <c r="AS20" s="360">
        <f>AS18+AS19</f>
        <v>145180.63070000004</v>
      </c>
      <c r="AT20" s="299"/>
      <c r="AU20" s="300"/>
      <c r="AV20" s="300"/>
      <c r="AW20" s="352" t="s">
        <v>74</v>
      </c>
      <c r="AX20" s="353">
        <f>AX18+AX19</f>
        <v>144085.26270000002</v>
      </c>
      <c r="AY20" s="299"/>
      <c r="AZ20" s="300"/>
      <c r="BA20" s="300"/>
      <c r="BB20" s="352" t="s">
        <v>74</v>
      </c>
      <c r="BC20" s="353">
        <f>BC18+BC19</f>
        <v>144602.36870000002</v>
      </c>
      <c r="BD20" s="299"/>
      <c r="BE20" s="300"/>
      <c r="BF20" s="300"/>
      <c r="BG20" s="352" t="s">
        <v>74</v>
      </c>
      <c r="BH20" s="353">
        <f>BH18+BH19</f>
        <v>146218.34270000004</v>
      </c>
      <c r="BI20" s="299"/>
      <c r="BJ20" s="300"/>
      <c r="BK20" s="300"/>
      <c r="BL20" s="352" t="s">
        <v>74</v>
      </c>
      <c r="BM20" s="360">
        <f>BM18+BM19</f>
        <v>135687.02270000003</v>
      </c>
      <c r="BN20" s="299"/>
      <c r="BO20" s="300"/>
      <c r="BP20" s="300"/>
      <c r="BQ20" s="352" t="s">
        <v>74</v>
      </c>
      <c r="BR20" s="360">
        <f>BR18+BR19</f>
        <v>136097.96770000004</v>
      </c>
      <c r="BS20" s="299"/>
      <c r="BT20" s="300"/>
      <c r="BU20" s="300"/>
      <c r="BV20" s="352" t="s">
        <v>74</v>
      </c>
      <c r="BW20" s="360">
        <f>BW18+BW19</f>
        <v>135658.37770000004</v>
      </c>
      <c r="BX20" s="299"/>
      <c r="BY20" s="300"/>
      <c r="BZ20" s="300"/>
      <c r="CA20" s="352" t="s">
        <v>74</v>
      </c>
      <c r="CB20" s="353">
        <f>CB18+CB19</f>
        <v>136669.64370000004</v>
      </c>
      <c r="CC20" s="299"/>
      <c r="CD20" s="300"/>
      <c r="CE20" s="300"/>
      <c r="CF20" s="352" t="s">
        <v>74</v>
      </c>
      <c r="CG20" s="353">
        <f>CG18+CG19</f>
        <v>139627.64620000005</v>
      </c>
      <c r="CH20" s="299"/>
      <c r="CI20" s="300"/>
      <c r="CJ20" s="300"/>
      <c r="CK20" s="352" t="s">
        <v>74</v>
      </c>
      <c r="CL20" s="353">
        <f>CL18+CL19</f>
        <v>141472.68620000005</v>
      </c>
      <c r="CM20" s="299"/>
      <c r="CN20" s="300"/>
      <c r="CO20" s="300"/>
      <c r="CP20" s="352" t="s">
        <v>74</v>
      </c>
      <c r="CQ20" s="353">
        <f>CQ18+CQ19</f>
        <v>141066.92370000004</v>
      </c>
      <c r="CR20" s="299"/>
      <c r="CS20" s="300"/>
      <c r="CT20" s="300"/>
      <c r="CU20" s="352" t="s">
        <v>74</v>
      </c>
      <c r="CV20" s="353">
        <f>CV18+CV19</f>
        <v>141922.98470000006</v>
      </c>
      <c r="CW20" s="299"/>
      <c r="CX20" s="300"/>
      <c r="CY20" s="300"/>
      <c r="CZ20" s="352" t="s">
        <v>74</v>
      </c>
      <c r="DA20" s="353">
        <f>DA18+DA19</f>
        <v>142285.95570000005</v>
      </c>
      <c r="DB20" s="299"/>
      <c r="DC20" s="300"/>
      <c r="DD20" s="300"/>
      <c r="DE20" s="352" t="s">
        <v>74</v>
      </c>
      <c r="DF20" s="353">
        <f>DF18+DF19</f>
        <v>142741.01570000005</v>
      </c>
      <c r="DG20" s="299"/>
      <c r="DH20" s="300"/>
      <c r="DI20" s="300"/>
      <c r="DJ20" s="352" t="s">
        <v>74</v>
      </c>
      <c r="DK20" s="353">
        <f>DK18+DK19</f>
        <v>143431.09570000006</v>
      </c>
      <c r="DL20" s="299"/>
      <c r="DM20" s="300"/>
      <c r="DN20" s="300"/>
      <c r="DO20" s="352" t="s">
        <v>74</v>
      </c>
      <c r="DP20" s="353">
        <f>DP18+DP19</f>
        <v>139369.32570000004</v>
      </c>
      <c r="DQ20" s="299"/>
      <c r="DR20" s="300"/>
      <c r="DS20" s="300"/>
      <c r="DT20" s="352" t="s">
        <v>74</v>
      </c>
      <c r="DU20" s="353">
        <f>DU18+DU19</f>
        <v>142473.63670000003</v>
      </c>
      <c r="DV20" s="299"/>
      <c r="DW20" s="300"/>
      <c r="DX20" s="300"/>
      <c r="DY20" s="352" t="s">
        <v>74</v>
      </c>
      <c r="DZ20" s="353">
        <f>DZ18+DZ19</f>
        <v>141789.28970000005</v>
      </c>
      <c r="EA20" s="299"/>
      <c r="EB20" s="300"/>
      <c r="EC20" s="300"/>
      <c r="ED20" s="352" t="s">
        <v>74</v>
      </c>
      <c r="EE20" s="353">
        <f>EE18+EE19</f>
        <v>144133.03020000004</v>
      </c>
    </row>
  </sheetData>
  <mergeCells count="27">
    <mergeCell ref="DQ1:DU1"/>
    <mergeCell ref="DV1:DZ1"/>
    <mergeCell ref="EA1:EE1"/>
    <mergeCell ref="CW1:DA1"/>
    <mergeCell ref="DB1:DF1"/>
    <mergeCell ref="DG1:DK1"/>
    <mergeCell ref="DL1:DP1"/>
    <mergeCell ref="CC1:CG1"/>
    <mergeCell ref="CH1:CL1"/>
    <mergeCell ref="CM1:CQ1"/>
    <mergeCell ref="CR1:CV1"/>
    <mergeCell ref="AY1:BC1"/>
    <mergeCell ref="Z1:AD1"/>
    <mergeCell ref="AT1:AX1"/>
    <mergeCell ref="AO1:AS1"/>
    <mergeCell ref="AJ1:AN1"/>
    <mergeCell ref="AE1:AI1"/>
    <mergeCell ref="BX1:CB1"/>
    <mergeCell ref="BS1:BW1"/>
    <mergeCell ref="A1:E1"/>
    <mergeCell ref="F1:J1"/>
    <mergeCell ref="K1:O1"/>
    <mergeCell ref="P1:T1"/>
    <mergeCell ref="BN1:BR1"/>
    <mergeCell ref="BI1:BM1"/>
    <mergeCell ref="BD1:BH1"/>
    <mergeCell ref="U1:Y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2002-03-03T14:57:23Z</dcterms:created>
  <dcterms:modified xsi:type="dcterms:W3CDTF">2002-10-22T23:01:47Z</dcterms:modified>
  <cp:category/>
  <cp:version/>
  <cp:contentType/>
  <cp:contentStatus/>
</cp:coreProperties>
</file>