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80" windowHeight="8880" activeTab="1"/>
  </bookViews>
  <sheets>
    <sheet name="x" sheetId="1" r:id="rId1"/>
    <sheet name="y" sheetId="2" r:id="rId2"/>
  </sheets>
  <definedNames>
    <definedName name="com">'x'!$G$9:$G$111</definedName>
    <definedName name="date">'x'!$A$9:$A$111</definedName>
    <definedName name="dayam">'x'!$J$9:$J$111</definedName>
    <definedName name="netam">'x'!$I$9:$I$111</definedName>
    <definedName name="order">'x'!#REF!</definedName>
    <definedName name="pl">'x'!$L$9:$L$111</definedName>
    <definedName name="price">'x'!$F$9:$F$111</definedName>
    <definedName name="stock">'x'!$C$9:$C$111</definedName>
    <definedName name="t3day">'x'!$B$9:$B$111</definedName>
    <definedName name="type">'x'!$D$9:$D$111</definedName>
    <definedName name="vat">'x'!$H$9:$H$111</definedName>
    <definedName name="vol">'x'!$E$9:$E$111</definedName>
    <definedName name="wealth">'x'!$K$9:$K$111</definedName>
    <definedName name="เงินสด">'y'!$K$3:$K$75</definedName>
    <definedName name="กำไรขาดทุน">'y'!$L$3:$L$75</definedName>
    <definedName name="คอม">'y'!$G$3:$G$75</definedName>
    <definedName name="จำนวน">'y'!$E$3:$E$75</definedName>
    <definedName name="ชื่อหุ้น">'y'!$C$3:$C$75</definedName>
    <definedName name="ซื้อขาย">'y'!$D$3:$D$75</definedName>
    <definedName name="ภาษี">'y'!$H$3:$H$75</definedName>
    <definedName name="ราคา">'y'!$F$3:$F$75</definedName>
    <definedName name="วันชำระ">'y'!$B$3:$B$75</definedName>
    <definedName name="วันที่">'y'!$A$3:$A$75</definedName>
    <definedName name="สุทธิ">'y'!$I$3:$I$75</definedName>
    <definedName name="สุทธิทั้งวัน">'y'!$J$3:$J$75</definedName>
  </definedNames>
  <calcPr fullCalcOnLoad="1"/>
</workbook>
</file>

<file path=xl/sharedStrings.xml><?xml version="1.0" encoding="utf-8"?>
<sst xmlns="http://schemas.openxmlformats.org/spreadsheetml/2006/main" count="481" uniqueCount="140">
  <si>
    <t>order</t>
  </si>
  <si>
    <t>date</t>
  </si>
  <si>
    <t>day amount</t>
  </si>
  <si>
    <t>stock</t>
  </si>
  <si>
    <t>volume</t>
  </si>
  <si>
    <t>price</t>
  </si>
  <si>
    <t>com</t>
  </si>
  <si>
    <t>vat</t>
  </si>
  <si>
    <t>T+3 day</t>
  </si>
  <si>
    <t>net amount</t>
  </si>
  <si>
    <t>p/l</t>
  </si>
  <si>
    <t>type</t>
  </si>
  <si>
    <t>T+3 date</t>
  </si>
  <si>
    <t>stock name</t>
  </si>
  <si>
    <t>price/share</t>
  </si>
  <si>
    <t>FRI 15/02/02</t>
  </si>
  <si>
    <t>coco</t>
  </si>
  <si>
    <t>b</t>
  </si>
  <si>
    <t>FRI 01/03/02</t>
  </si>
  <si>
    <t>thip</t>
  </si>
  <si>
    <t>MON 03/03/02</t>
  </si>
  <si>
    <t>ht</t>
  </si>
  <si>
    <t>s</t>
  </si>
  <si>
    <t>tisco-c1</t>
  </si>
  <si>
    <t>TUE 05/03/02</t>
  </si>
  <si>
    <t>THU 07/03/02</t>
  </si>
  <si>
    <t>kgi-w3</t>
  </si>
  <si>
    <t>FRI 08/03/02</t>
  </si>
  <si>
    <t>acl</t>
  </si>
  <si>
    <t>msc</t>
  </si>
  <si>
    <t>kgi-w4</t>
  </si>
  <si>
    <t>grammy</t>
  </si>
  <si>
    <t>MON 11/03/02</t>
  </si>
  <si>
    <t>TUE 12/03/02</t>
  </si>
  <si>
    <t>WED 13/03/02</t>
  </si>
  <si>
    <t>THU 14/03/02</t>
  </si>
  <si>
    <t>FRI 15/03/02</t>
  </si>
  <si>
    <t>banpu-w2</t>
  </si>
  <si>
    <t>ust</t>
  </si>
  <si>
    <t>MON 18/03/02</t>
  </si>
  <si>
    <t>TUE 19/03/02</t>
  </si>
  <si>
    <t>uf</t>
  </si>
  <si>
    <t>WED 20/03/02</t>
  </si>
  <si>
    <t>MON 25/03/02</t>
  </si>
  <si>
    <t>WED 27/03/02</t>
  </si>
  <si>
    <t>ap-w1</t>
  </si>
  <si>
    <t>wg</t>
  </si>
  <si>
    <t>THU 28/03/02</t>
  </si>
  <si>
    <t>MON 01/04/02</t>
  </si>
  <si>
    <t>WED 10/04/02</t>
  </si>
  <si>
    <t>THU 11/04/02</t>
  </si>
  <si>
    <t>cirkit</t>
  </si>
  <si>
    <t>TUE 02/04/02</t>
  </si>
  <si>
    <t>FRI 12/04/02</t>
  </si>
  <si>
    <t>WED17/04/02</t>
  </si>
  <si>
    <t>THU 18/04/02</t>
  </si>
  <si>
    <t>FRI 19/04/02</t>
  </si>
  <si>
    <t>bafs</t>
  </si>
  <si>
    <t xml:space="preserve">Seamico Internet Trading Account (comission 0.20%,no minimum) </t>
  </si>
  <si>
    <t>MON 22/04/02</t>
  </si>
  <si>
    <t>TUE 23/04/02</t>
  </si>
  <si>
    <t>cirkit-w</t>
  </si>
  <si>
    <t>WED 24/04/02</t>
  </si>
  <si>
    <t>THU 25/04/02</t>
  </si>
  <si>
    <t>FRI 26/04/02</t>
  </si>
  <si>
    <t>TUE 30/04/02</t>
  </si>
  <si>
    <t>THU 02/05/02</t>
  </si>
  <si>
    <t>FRI 03/05/02</t>
  </si>
  <si>
    <t>WED 08/05/02</t>
  </si>
  <si>
    <t>FRI 10/05/02</t>
  </si>
  <si>
    <t>THU 09/05/02</t>
  </si>
  <si>
    <t>dtm</t>
  </si>
  <si>
    <t>mink's port</t>
  </si>
  <si>
    <t>DATE</t>
  </si>
  <si>
    <t>T+3 DAY</t>
  </si>
  <si>
    <t>STOCK</t>
  </si>
  <si>
    <t>VOLUME</t>
  </si>
  <si>
    <t>PRICE</t>
  </si>
  <si>
    <t>COM</t>
  </si>
  <si>
    <t>VAT</t>
  </si>
  <si>
    <t>NET AMOUNT</t>
  </si>
  <si>
    <t>DAY AMOUNT</t>
  </si>
  <si>
    <t>P/L</t>
  </si>
  <si>
    <t>B/S</t>
  </si>
  <si>
    <t>PREPAID SAL</t>
  </si>
  <si>
    <t>TUE 14/05/02</t>
  </si>
  <si>
    <t>WED 15/05/02</t>
  </si>
  <si>
    <t>THU 16/05/02</t>
  </si>
  <si>
    <t>bigc</t>
  </si>
  <si>
    <t>FRI 17/05/02</t>
  </si>
  <si>
    <t>ahc</t>
  </si>
  <si>
    <t>MON 20/05/02</t>
  </si>
  <si>
    <t xml:space="preserve">wtd </t>
  </si>
  <si>
    <t>dep</t>
  </si>
  <si>
    <t>TUE 21/05/02</t>
  </si>
  <si>
    <t>ram</t>
  </si>
  <si>
    <t>WED 22/05/02</t>
  </si>
  <si>
    <t>brc</t>
  </si>
  <si>
    <t>THU 23/05/02</t>
  </si>
  <si>
    <t>svoa</t>
  </si>
  <si>
    <t>BALANCE</t>
  </si>
  <si>
    <t>balance</t>
  </si>
  <si>
    <t>FRI 24/05/02</t>
  </si>
  <si>
    <t>TUE 28/05/02</t>
  </si>
  <si>
    <t>THU 30/05/02</t>
  </si>
  <si>
    <t>FRI 31/05/02</t>
  </si>
  <si>
    <t>singer</t>
  </si>
  <si>
    <t>WED 05/06/02</t>
  </si>
  <si>
    <t>THU 06/06/02</t>
  </si>
  <si>
    <t>FRI 07/06/02</t>
  </si>
  <si>
    <t>MON 10/06/02</t>
  </si>
  <si>
    <t>THU 13/06/02</t>
  </si>
  <si>
    <t>FRI 14/06/02</t>
  </si>
  <si>
    <t>lpn</t>
  </si>
  <si>
    <t>MON 17/06/02</t>
  </si>
  <si>
    <t>TUE 18/06/02</t>
  </si>
  <si>
    <t>WED 19/06/02</t>
  </si>
  <si>
    <t>patkol</t>
  </si>
  <si>
    <t>THU 20/06/02</t>
  </si>
  <si>
    <t>FRI 21/06/02</t>
  </si>
  <si>
    <t>ccet</t>
  </si>
  <si>
    <t>delta</t>
  </si>
  <si>
    <t>TUE 25/06/02</t>
  </si>
  <si>
    <t>WED 26/06/02</t>
  </si>
  <si>
    <t>THU 27/06/02</t>
  </si>
  <si>
    <t>FRI 28/06/02</t>
  </si>
  <si>
    <t>varo</t>
  </si>
  <si>
    <t>WED 03/07/02</t>
  </si>
  <si>
    <t>THU 04/07/02</t>
  </si>
  <si>
    <t>FRI 05/07/02</t>
  </si>
  <si>
    <t xml:space="preserve">int </t>
  </si>
  <si>
    <t>MON 08/07/02</t>
  </si>
  <si>
    <t>WED 10/07/02</t>
  </si>
  <si>
    <t>gfpt</t>
  </si>
  <si>
    <t>THU 11/07/02</t>
  </si>
  <si>
    <t>FRI 12/07/02</t>
  </si>
  <si>
    <t>TUE 16/07/02</t>
  </si>
  <si>
    <t>TUE 23/07/02</t>
  </si>
  <si>
    <t>WED 24/07/02</t>
  </si>
  <si>
    <t>FRI 26/07/02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</si>
</sst>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_-;\-* #,##0.0_-;_-* &quot;-&quot;??_-;_-@_-"/>
    <numFmt numFmtId="198" formatCode="_-* #,##0_-;\-* #,##0_-;_-* &quot;-&quot;??_-;_-@_-"/>
    <numFmt numFmtId="199" formatCode="_-* #,##0.000_-;\-* #,##0.000_-;_-* &quot;-&quot;??_-;_-@_-"/>
    <numFmt numFmtId="200" formatCode="0.000000"/>
    <numFmt numFmtId="201" formatCode="0.00000"/>
    <numFmt numFmtId="202" formatCode="0.0000"/>
    <numFmt numFmtId="203" formatCode="0.000"/>
  </numFmts>
  <fonts count="12">
    <font>
      <sz val="14"/>
      <name val="Cordia New"/>
      <family val="0"/>
    </font>
    <font>
      <sz val="14"/>
      <color indexed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9"/>
      <name val="Cordia New"/>
      <family val="2"/>
    </font>
    <font>
      <sz val="14"/>
      <color indexed="12"/>
      <name val="Cordia New"/>
      <family val="2"/>
    </font>
    <font>
      <sz val="14"/>
      <color indexed="8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4"/>
      <color indexed="14"/>
      <name val="Cordia New"/>
      <family val="2"/>
    </font>
    <font>
      <sz val="14"/>
      <color indexed="63"/>
      <name val="Cordia New"/>
      <family val="2"/>
    </font>
    <font>
      <sz val="14"/>
      <color indexed="57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2" borderId="0" xfId="15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43" fontId="0" fillId="2" borderId="1" xfId="15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3" fontId="0" fillId="2" borderId="3" xfId="15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4" fillId="3" borderId="6" xfId="0" applyFont="1" applyFill="1" applyBorder="1" applyAlignment="1">
      <alignment horizontal="center"/>
    </xf>
    <xf numFmtId="9" fontId="4" fillId="3" borderId="6" xfId="2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0" fillId="2" borderId="0" xfId="15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3" fontId="0" fillId="4" borderId="1" xfId="15" applyFill="1" applyBorder="1" applyAlignment="1">
      <alignment horizontal="center"/>
    </xf>
    <xf numFmtId="198" fontId="0" fillId="4" borderId="0" xfId="15" applyNumberFormat="1" applyFill="1" applyBorder="1" applyAlignment="1">
      <alignment horizontal="center"/>
    </xf>
    <xf numFmtId="43" fontId="0" fillId="4" borderId="0" xfId="15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3" fontId="0" fillId="2" borderId="7" xfId="15" applyFill="1" applyBorder="1" applyAlignment="1">
      <alignment horizontal="center"/>
    </xf>
    <xf numFmtId="43" fontId="0" fillId="2" borderId="8" xfId="15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98" fontId="0" fillId="4" borderId="10" xfId="15" applyNumberFormat="1" applyFill="1" applyBorder="1" applyAlignment="1">
      <alignment horizontal="center"/>
    </xf>
    <xf numFmtId="43" fontId="0" fillId="4" borderId="9" xfId="15" applyFill="1" applyBorder="1" applyAlignment="1">
      <alignment horizontal="center"/>
    </xf>
    <xf numFmtId="43" fontId="0" fillId="4" borderId="10" xfId="15" applyFill="1" applyBorder="1" applyAlignment="1">
      <alignment horizontal="center"/>
    </xf>
    <xf numFmtId="43" fontId="0" fillId="2" borderId="9" xfId="15" applyFill="1" applyBorder="1" applyAlignment="1">
      <alignment horizontal="center"/>
    </xf>
    <xf numFmtId="43" fontId="0" fillId="2" borderId="10" xfId="15" applyFont="1" applyFill="1" applyBorder="1" applyAlignment="1">
      <alignment horizontal="center"/>
    </xf>
    <xf numFmtId="43" fontId="0" fillId="2" borderId="11" xfId="15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98" fontId="0" fillId="5" borderId="13" xfId="15" applyNumberFormat="1" applyFill="1" applyBorder="1" applyAlignment="1">
      <alignment horizontal="center"/>
    </xf>
    <xf numFmtId="43" fontId="0" fillId="5" borderId="12" xfId="15" applyFill="1" applyBorder="1" applyAlignment="1">
      <alignment horizontal="center"/>
    </xf>
    <xf numFmtId="43" fontId="0" fillId="5" borderId="13" xfId="15" applyFill="1" applyBorder="1" applyAlignment="1">
      <alignment horizontal="center"/>
    </xf>
    <xf numFmtId="43" fontId="0" fillId="2" borderId="12" xfId="15" applyFill="1" applyBorder="1" applyAlignment="1">
      <alignment horizontal="center"/>
    </xf>
    <xf numFmtId="43" fontId="0" fillId="2" borderId="13" xfId="15" applyFont="1" applyFill="1" applyBorder="1" applyAlignment="1">
      <alignment horizontal="center"/>
    </xf>
    <xf numFmtId="43" fontId="0" fillId="2" borderId="14" xfId="15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98" fontId="0" fillId="5" borderId="8" xfId="15" applyNumberFormat="1" applyFill="1" applyBorder="1" applyAlignment="1">
      <alignment horizontal="center"/>
    </xf>
    <xf numFmtId="43" fontId="0" fillId="5" borderId="7" xfId="15" applyFill="1" applyBorder="1" applyAlignment="1">
      <alignment horizontal="center"/>
    </xf>
    <xf numFmtId="43" fontId="0" fillId="5" borderId="8" xfId="15" applyFill="1" applyBorder="1" applyAlignment="1">
      <alignment horizontal="center"/>
    </xf>
    <xf numFmtId="43" fontId="5" fillId="5" borderId="15" xfId="15" applyFont="1" applyFill="1" applyBorder="1" applyAlignment="1">
      <alignment horizontal="center"/>
    </xf>
    <xf numFmtId="43" fontId="0" fillId="2" borderId="16" xfId="15" applyFill="1" applyBorder="1" applyAlignment="1">
      <alignment horizontal="center"/>
    </xf>
    <xf numFmtId="43" fontId="0" fillId="2" borderId="17" xfId="15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98" fontId="0" fillId="6" borderId="4" xfId="15" applyNumberFormat="1" applyFill="1" applyBorder="1" applyAlignment="1">
      <alignment/>
    </xf>
    <xf numFmtId="43" fontId="0" fillId="6" borderId="4" xfId="15" applyFill="1" applyBorder="1" applyAlignment="1">
      <alignment/>
    </xf>
    <xf numFmtId="0" fontId="0" fillId="7" borderId="4" xfId="0" applyFill="1" applyBorder="1" applyAlignment="1">
      <alignment horizontal="center"/>
    </xf>
    <xf numFmtId="198" fontId="0" fillId="7" borderId="4" xfId="15" applyNumberFormat="1" applyFill="1" applyBorder="1" applyAlignment="1">
      <alignment/>
    </xf>
    <xf numFmtId="43" fontId="0" fillId="7" borderId="4" xfId="15" applyFill="1" applyBorder="1" applyAlignment="1">
      <alignment/>
    </xf>
    <xf numFmtId="0" fontId="1" fillId="8" borderId="18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3" fontId="0" fillId="9" borderId="1" xfId="15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3" fontId="0" fillId="7" borderId="19" xfId="15" applyFill="1" applyBorder="1" applyAlignment="1">
      <alignment horizontal="center"/>
    </xf>
    <xf numFmtId="198" fontId="0" fillId="7" borderId="19" xfId="15" applyNumberFormat="1" applyFill="1" applyBorder="1" applyAlignment="1">
      <alignment horizontal="center"/>
    </xf>
    <xf numFmtId="43" fontId="0" fillId="7" borderId="1" xfId="15" applyFill="1" applyBorder="1" applyAlignment="1">
      <alignment horizontal="center"/>
    </xf>
    <xf numFmtId="43" fontId="0" fillId="2" borderId="19" xfId="15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3" fontId="0" fillId="10" borderId="1" xfId="15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98" fontId="0" fillId="4" borderId="8" xfId="15" applyNumberFormat="1" applyFill="1" applyBorder="1" applyAlignment="1">
      <alignment horizontal="center"/>
    </xf>
    <xf numFmtId="43" fontId="0" fillId="4" borderId="7" xfId="15" applyFill="1" applyBorder="1" applyAlignment="1">
      <alignment horizontal="center"/>
    </xf>
    <xf numFmtId="43" fontId="0" fillId="4" borderId="8" xfId="15" applyFill="1" applyBorder="1" applyAlignment="1">
      <alignment horizontal="center"/>
    </xf>
    <xf numFmtId="0" fontId="0" fillId="0" borderId="15" xfId="0" applyBorder="1" applyAlignment="1">
      <alignment/>
    </xf>
    <xf numFmtId="0" fontId="4" fillId="7" borderId="20" xfId="0" applyFont="1" applyFill="1" applyBorder="1" applyAlignment="1">
      <alignment horizontal="center"/>
    </xf>
    <xf numFmtId="43" fontId="5" fillId="4" borderId="16" xfId="15" applyFont="1" applyFill="1" applyBorder="1" applyAlignment="1">
      <alignment horizontal="center"/>
    </xf>
    <xf numFmtId="198" fontId="0" fillId="9" borderId="0" xfId="15" applyNumberFormat="1" applyFill="1" applyBorder="1" applyAlignment="1">
      <alignment horizontal="center"/>
    </xf>
    <xf numFmtId="43" fontId="0" fillId="9" borderId="0" xfId="15" applyFill="1" applyBorder="1" applyAlignment="1">
      <alignment horizontal="center"/>
    </xf>
    <xf numFmtId="43" fontId="5" fillId="7" borderId="16" xfId="15" applyFont="1" applyFill="1" applyBorder="1" applyAlignment="1">
      <alignment horizontal="center"/>
    </xf>
    <xf numFmtId="198" fontId="0" fillId="10" borderId="0" xfId="15" applyNumberFormat="1" applyFill="1" applyBorder="1" applyAlignment="1">
      <alignment horizontal="center"/>
    </xf>
    <xf numFmtId="43" fontId="0" fillId="10" borderId="0" xfId="15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3" fontId="4" fillId="7" borderId="1" xfId="15" applyFont="1" applyFill="1" applyBorder="1" applyAlignment="1">
      <alignment horizontal="center"/>
    </xf>
    <xf numFmtId="43" fontId="4" fillId="7" borderId="0" xfId="15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98" fontId="4" fillId="7" borderId="10" xfId="15" applyNumberFormat="1" applyFont="1" applyFill="1" applyBorder="1" applyAlignment="1">
      <alignment horizontal="center"/>
    </xf>
    <xf numFmtId="43" fontId="4" fillId="7" borderId="9" xfId="15" applyFont="1" applyFill="1" applyBorder="1" applyAlignment="1">
      <alignment horizontal="center"/>
    </xf>
    <xf numFmtId="43" fontId="4" fillId="7" borderId="10" xfId="15" applyFont="1" applyFill="1" applyBorder="1" applyAlignment="1">
      <alignment horizontal="center"/>
    </xf>
    <xf numFmtId="43" fontId="4" fillId="7" borderId="17" xfId="15" applyFont="1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198" fontId="0" fillId="11" borderId="10" xfId="15" applyNumberFormat="1" applyFill="1" applyBorder="1" applyAlignment="1">
      <alignment horizontal="center"/>
    </xf>
    <xf numFmtId="43" fontId="0" fillId="11" borderId="9" xfId="15" applyFill="1" applyBorder="1" applyAlignment="1">
      <alignment horizontal="center"/>
    </xf>
    <xf numFmtId="43" fontId="0" fillId="11" borderId="10" xfId="15" applyFill="1" applyBorder="1" applyAlignment="1">
      <alignment horizontal="center"/>
    </xf>
    <xf numFmtId="0" fontId="0" fillId="0" borderId="1" xfId="0" applyBorder="1" applyAlignment="1">
      <alignment/>
    </xf>
    <xf numFmtId="0" fontId="0" fillId="12" borderId="4" xfId="0" applyFill="1" applyBorder="1" applyAlignment="1">
      <alignment horizontal="center"/>
    </xf>
    <xf numFmtId="198" fontId="0" fillId="12" borderId="4" xfId="15" applyNumberFormat="1" applyFill="1" applyBorder="1" applyAlignment="1">
      <alignment/>
    </xf>
    <xf numFmtId="43" fontId="0" fillId="12" borderId="4" xfId="15" applyFill="1" applyBorder="1" applyAlignment="1">
      <alignment/>
    </xf>
    <xf numFmtId="0" fontId="0" fillId="12" borderId="7" xfId="0" applyFill="1" applyBorder="1" applyAlignment="1">
      <alignment horizontal="center"/>
    </xf>
    <xf numFmtId="198" fontId="0" fillId="12" borderId="8" xfId="15" applyNumberFormat="1" applyFill="1" applyBorder="1" applyAlignment="1">
      <alignment horizontal="center"/>
    </xf>
    <xf numFmtId="43" fontId="0" fillId="12" borderId="7" xfId="15" applyFill="1" applyBorder="1" applyAlignment="1">
      <alignment horizontal="center"/>
    </xf>
    <xf numFmtId="43" fontId="0" fillId="12" borderId="8" xfId="15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43" fontId="0" fillId="11" borderId="1" xfId="15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98" fontId="0" fillId="9" borderId="8" xfId="15" applyNumberFormat="1" applyFill="1" applyBorder="1" applyAlignment="1">
      <alignment horizontal="center"/>
    </xf>
    <xf numFmtId="43" fontId="0" fillId="9" borderId="7" xfId="15" applyFill="1" applyBorder="1" applyAlignment="1">
      <alignment horizontal="center"/>
    </xf>
    <xf numFmtId="43" fontId="0" fillId="9" borderId="8" xfId="15" applyFill="1" applyBorder="1" applyAlignment="1">
      <alignment horizontal="center"/>
    </xf>
    <xf numFmtId="43" fontId="0" fillId="2" borderId="15" xfId="15" applyFill="1" applyBorder="1" applyAlignment="1">
      <alignment horizontal="center"/>
    </xf>
    <xf numFmtId="43" fontId="5" fillId="10" borderId="16" xfId="15" applyFont="1" applyFill="1" applyBorder="1" applyAlignment="1">
      <alignment horizontal="center"/>
    </xf>
    <xf numFmtId="198" fontId="0" fillId="11" borderId="0" xfId="15" applyNumberFormat="1" applyFill="1" applyBorder="1" applyAlignment="1">
      <alignment horizontal="center"/>
    </xf>
    <xf numFmtId="43" fontId="0" fillId="11" borderId="0" xfId="15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198" fontId="0" fillId="13" borderId="10" xfId="15" applyNumberFormat="1" applyFill="1" applyBorder="1" applyAlignment="1">
      <alignment horizontal="center"/>
    </xf>
    <xf numFmtId="43" fontId="0" fillId="13" borderId="9" xfId="15" applyFill="1" applyBorder="1" applyAlignment="1">
      <alignment horizontal="center"/>
    </xf>
    <xf numFmtId="43" fontId="0" fillId="13" borderId="10" xfId="15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198" fontId="0" fillId="11" borderId="8" xfId="15" applyNumberFormat="1" applyFill="1" applyBorder="1" applyAlignment="1">
      <alignment horizontal="center"/>
    </xf>
    <xf numFmtId="43" fontId="0" fillId="11" borderId="7" xfId="15" applyFill="1" applyBorder="1" applyAlignment="1">
      <alignment horizontal="center"/>
    </xf>
    <xf numFmtId="43" fontId="0" fillId="11" borderId="8" xfId="15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98" fontId="0" fillId="6" borderId="10" xfId="15" applyNumberFormat="1" applyFill="1" applyBorder="1" applyAlignment="1">
      <alignment horizontal="center"/>
    </xf>
    <xf numFmtId="43" fontId="0" fillId="6" borderId="9" xfId="15" applyFill="1" applyBorder="1" applyAlignment="1">
      <alignment horizontal="center"/>
    </xf>
    <xf numFmtId="43" fontId="0" fillId="6" borderId="10" xfId="15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43" fontId="0" fillId="14" borderId="1" xfId="15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3" fontId="0" fillId="6" borderId="1" xfId="15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43" fontId="0" fillId="15" borderId="1" xfId="15" applyFill="1" applyBorder="1" applyAlignment="1">
      <alignment horizontal="center"/>
    </xf>
    <xf numFmtId="198" fontId="0" fillId="14" borderId="0" xfId="15" applyNumberFormat="1" applyFill="1" applyBorder="1" applyAlignment="1">
      <alignment horizontal="center"/>
    </xf>
    <xf numFmtId="43" fontId="0" fillId="14" borderId="0" xfId="15" applyFill="1" applyBorder="1" applyAlignment="1">
      <alignment horizontal="center"/>
    </xf>
    <xf numFmtId="198" fontId="6" fillId="6" borderId="0" xfId="15" applyNumberFormat="1" applyFont="1" applyFill="1" applyBorder="1" applyAlignment="1">
      <alignment horizontal="center"/>
    </xf>
    <xf numFmtId="43" fontId="0" fillId="6" borderId="0" xfId="15" applyFill="1" applyBorder="1" applyAlignment="1">
      <alignment horizontal="center"/>
    </xf>
    <xf numFmtId="43" fontId="5" fillId="6" borderId="16" xfId="15" applyFont="1" applyFill="1" applyBorder="1" applyAlignment="1">
      <alignment horizontal="center"/>
    </xf>
    <xf numFmtId="198" fontId="0" fillId="15" borderId="0" xfId="15" applyNumberFormat="1" applyFill="1" applyBorder="1" applyAlignment="1">
      <alignment horizontal="center"/>
    </xf>
    <xf numFmtId="43" fontId="0" fillId="15" borderId="0" xfId="15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98" fontId="0" fillId="10" borderId="10" xfId="15" applyNumberFormat="1" applyFill="1" applyBorder="1" applyAlignment="1">
      <alignment horizontal="center"/>
    </xf>
    <xf numFmtId="43" fontId="0" fillId="10" borderId="9" xfId="15" applyFill="1" applyBorder="1" applyAlignment="1">
      <alignment horizontal="center"/>
    </xf>
    <xf numFmtId="43" fontId="0" fillId="10" borderId="10" xfId="15" applyFill="1" applyBorder="1" applyAlignment="1">
      <alignment horizontal="center"/>
    </xf>
    <xf numFmtId="43" fontId="5" fillId="9" borderId="15" xfId="15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98" fontId="0" fillId="5" borderId="10" xfId="15" applyNumberFormat="1" applyFill="1" applyBorder="1" applyAlignment="1">
      <alignment horizontal="center"/>
    </xf>
    <xf numFmtId="43" fontId="0" fillId="5" borderId="9" xfId="15" applyFill="1" applyBorder="1" applyAlignment="1">
      <alignment horizontal="center"/>
    </xf>
    <xf numFmtId="43" fontId="0" fillId="5" borderId="10" xfId="15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198" fontId="0" fillId="13" borderId="8" xfId="15" applyNumberFormat="1" applyFill="1" applyBorder="1" applyAlignment="1">
      <alignment horizontal="center"/>
    </xf>
    <xf numFmtId="43" fontId="0" fillId="13" borderId="7" xfId="15" applyFill="1" applyBorder="1" applyAlignment="1">
      <alignment horizontal="center"/>
    </xf>
    <xf numFmtId="43" fontId="0" fillId="13" borderId="8" xfId="15" applyFill="1" applyBorder="1" applyAlignment="1">
      <alignment horizontal="center"/>
    </xf>
    <xf numFmtId="43" fontId="5" fillId="13" borderId="15" xfId="15" applyFont="1" applyFill="1" applyBorder="1" applyAlignment="1">
      <alignment horizontal="center"/>
    </xf>
    <xf numFmtId="43" fontId="5" fillId="10" borderId="16" xfId="15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98" fontId="0" fillId="9" borderId="10" xfId="15" applyNumberFormat="1" applyFill="1" applyBorder="1" applyAlignment="1">
      <alignment horizontal="center"/>
    </xf>
    <xf numFmtId="43" fontId="0" fillId="9" borderId="9" xfId="15" applyFill="1" applyBorder="1" applyAlignment="1">
      <alignment horizontal="center"/>
    </xf>
    <xf numFmtId="43" fontId="0" fillId="9" borderId="10" xfId="15" applyFill="1" applyBorder="1" applyAlignment="1">
      <alignment horizontal="center"/>
    </xf>
    <xf numFmtId="43" fontId="5" fillId="9" borderId="11" xfId="15" applyFont="1" applyFill="1" applyBorder="1" applyAlignment="1">
      <alignment horizontal="center"/>
    </xf>
    <xf numFmtId="43" fontId="7" fillId="12" borderId="15" xfId="15" applyFont="1" applyFill="1" applyBorder="1" applyAlignment="1">
      <alignment horizontal="center"/>
    </xf>
    <xf numFmtId="43" fontId="7" fillId="14" borderId="16" xfId="15" applyFont="1" applyFill="1" applyBorder="1" applyAlignment="1">
      <alignment horizontal="center"/>
    </xf>
    <xf numFmtId="43" fontId="7" fillId="11" borderId="16" xfId="15" applyFont="1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198" fontId="0" fillId="15" borderId="10" xfId="15" applyNumberFormat="1" applyFill="1" applyBorder="1" applyAlignment="1">
      <alignment horizontal="center"/>
    </xf>
    <xf numFmtId="43" fontId="0" fillId="15" borderId="9" xfId="15" applyFill="1" applyBorder="1" applyAlignment="1">
      <alignment horizontal="center"/>
    </xf>
    <xf numFmtId="43" fontId="0" fillId="15" borderId="10" xfId="15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98" fontId="0" fillId="4" borderId="13" xfId="15" applyNumberFormat="1" applyFill="1" applyBorder="1" applyAlignment="1">
      <alignment horizontal="center"/>
    </xf>
    <xf numFmtId="43" fontId="0" fillId="4" borderId="12" xfId="15" applyFill="1" applyBorder="1" applyAlignment="1">
      <alignment horizontal="center"/>
    </xf>
    <xf numFmtId="43" fontId="0" fillId="4" borderId="13" xfId="15" applyFill="1" applyBorder="1" applyAlignment="1">
      <alignment horizontal="center"/>
    </xf>
    <xf numFmtId="43" fontId="8" fillId="4" borderId="14" xfId="15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98" fontId="0" fillId="16" borderId="0" xfId="15" applyNumberFormat="1" applyFill="1" applyBorder="1" applyAlignment="1">
      <alignment horizontal="center"/>
    </xf>
    <xf numFmtId="43" fontId="0" fillId="16" borderId="1" xfId="15" applyFill="1" applyBorder="1" applyAlignment="1">
      <alignment horizontal="center"/>
    </xf>
    <xf numFmtId="43" fontId="0" fillId="16" borderId="0" xfId="15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198" fontId="0" fillId="15" borderId="8" xfId="15" applyNumberFormat="1" applyFill="1" applyBorder="1" applyAlignment="1">
      <alignment horizontal="center"/>
    </xf>
    <xf numFmtId="43" fontId="0" fillId="15" borderId="7" xfId="15" applyFill="1" applyBorder="1" applyAlignment="1">
      <alignment horizontal="center"/>
    </xf>
    <xf numFmtId="43" fontId="0" fillId="15" borderId="8" xfId="15" applyFill="1" applyBorder="1" applyAlignment="1">
      <alignment horizontal="center"/>
    </xf>
    <xf numFmtId="43" fontId="5" fillId="16" borderId="16" xfId="15" applyFon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198" fontId="0" fillId="10" borderId="8" xfId="15" applyNumberFormat="1" applyFill="1" applyBorder="1" applyAlignment="1">
      <alignment horizontal="center"/>
    </xf>
    <xf numFmtId="43" fontId="0" fillId="10" borderId="7" xfId="15" applyFill="1" applyBorder="1" applyAlignment="1">
      <alignment horizontal="center"/>
    </xf>
    <xf numFmtId="43" fontId="0" fillId="10" borderId="8" xfId="15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198" fontId="0" fillId="17" borderId="0" xfId="15" applyNumberFormat="1" applyFill="1" applyBorder="1" applyAlignment="1">
      <alignment horizontal="center"/>
    </xf>
    <xf numFmtId="43" fontId="0" fillId="17" borderId="1" xfId="15" applyFill="1" applyBorder="1" applyAlignment="1">
      <alignment horizontal="center"/>
    </xf>
    <xf numFmtId="43" fontId="0" fillId="17" borderId="0" xfId="15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98" fontId="0" fillId="7" borderId="10" xfId="15" applyNumberFormat="1" applyFill="1" applyBorder="1" applyAlignment="1">
      <alignment horizontal="center"/>
    </xf>
    <xf numFmtId="43" fontId="0" fillId="7" borderId="9" xfId="15" applyFill="1" applyBorder="1" applyAlignment="1">
      <alignment horizontal="center"/>
    </xf>
    <xf numFmtId="43" fontId="0" fillId="7" borderId="10" xfId="15" applyFill="1" applyBorder="1" applyAlignment="1">
      <alignment horizontal="center"/>
    </xf>
    <xf numFmtId="43" fontId="5" fillId="18" borderId="0" xfId="15" applyFont="1" applyFill="1" applyAlignment="1">
      <alignment horizontal="center"/>
    </xf>
    <xf numFmtId="0" fontId="0" fillId="7" borderId="7" xfId="0" applyFill="1" applyBorder="1" applyAlignment="1">
      <alignment horizontal="center"/>
    </xf>
    <xf numFmtId="198" fontId="0" fillId="7" borderId="8" xfId="15" applyNumberFormat="1" applyFill="1" applyBorder="1" applyAlignment="1">
      <alignment horizontal="center"/>
    </xf>
    <xf numFmtId="43" fontId="0" fillId="7" borderId="7" xfId="15" applyFill="1" applyBorder="1" applyAlignment="1">
      <alignment horizontal="center"/>
    </xf>
    <xf numFmtId="43" fontId="0" fillId="7" borderId="8" xfId="15" applyFill="1" applyBorder="1" applyAlignment="1">
      <alignment horizontal="center"/>
    </xf>
    <xf numFmtId="43" fontId="5" fillId="7" borderId="15" xfId="15" applyFont="1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43" fontId="0" fillId="19" borderId="9" xfId="15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43" fontId="0" fillId="19" borderId="12" xfId="15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198" fontId="0" fillId="17" borderId="13" xfId="15" applyNumberFormat="1" applyFill="1" applyBorder="1" applyAlignment="1">
      <alignment horizontal="center"/>
    </xf>
    <xf numFmtId="43" fontId="0" fillId="17" borderId="12" xfId="15" applyFill="1" applyBorder="1" applyAlignment="1">
      <alignment horizontal="center"/>
    </xf>
    <xf numFmtId="43" fontId="0" fillId="17" borderId="13" xfId="15" applyFill="1" applyBorder="1" applyAlignment="1">
      <alignment horizontal="center"/>
    </xf>
    <xf numFmtId="43" fontId="8" fillId="10" borderId="11" xfId="15" applyFont="1" applyFill="1" applyBorder="1" applyAlignment="1">
      <alignment horizontal="center"/>
    </xf>
    <xf numFmtId="43" fontId="5" fillId="17" borderId="16" xfId="15" applyFont="1" applyFill="1" applyBorder="1" applyAlignment="1">
      <alignment horizontal="center"/>
    </xf>
    <xf numFmtId="198" fontId="0" fillId="19" borderId="0" xfId="15" applyNumberFormat="1" applyFill="1" applyBorder="1" applyAlignment="1">
      <alignment horizontal="center"/>
    </xf>
    <xf numFmtId="43" fontId="0" fillId="19" borderId="0" xfId="15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43" fontId="0" fillId="19" borderId="1" xfId="15" applyFill="1" applyBorder="1" applyAlignment="1">
      <alignment horizontal="center"/>
    </xf>
    <xf numFmtId="43" fontId="0" fillId="2" borderId="8" xfId="15" applyFill="1" applyBorder="1" applyAlignment="1">
      <alignment horizontal="center"/>
    </xf>
    <xf numFmtId="43" fontId="0" fillId="2" borderId="22" xfId="15" applyFill="1" applyBorder="1" applyAlignment="1">
      <alignment horizontal="center"/>
    </xf>
    <xf numFmtId="43" fontId="0" fillId="2" borderId="10" xfId="15" applyFill="1" applyBorder="1" applyAlignment="1">
      <alignment horizontal="center"/>
    </xf>
    <xf numFmtId="43" fontId="0" fillId="2" borderId="23" xfId="15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198" fontId="0" fillId="9" borderId="13" xfId="15" applyNumberFormat="1" applyFill="1" applyBorder="1" applyAlignment="1">
      <alignment horizontal="center"/>
    </xf>
    <xf numFmtId="43" fontId="0" fillId="9" borderId="12" xfId="15" applyFill="1" applyBorder="1" applyAlignment="1">
      <alignment horizontal="center"/>
    </xf>
    <xf numFmtId="43" fontId="0" fillId="9" borderId="13" xfId="15" applyFill="1" applyBorder="1" applyAlignment="1">
      <alignment horizontal="center"/>
    </xf>
    <xf numFmtId="43" fontId="0" fillId="2" borderId="24" xfId="15" applyFill="1" applyBorder="1" applyAlignment="1">
      <alignment horizontal="center"/>
    </xf>
    <xf numFmtId="198" fontId="0" fillId="9" borderId="9" xfId="15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98" fontId="0" fillId="9" borderId="1" xfId="15" applyNumberFormat="1" applyFill="1" applyBorder="1" applyAlignment="1">
      <alignment horizontal="center"/>
    </xf>
    <xf numFmtId="198" fontId="0" fillId="19" borderId="12" xfId="15" applyNumberFormat="1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43" fontId="0" fillId="2" borderId="12" xfId="15" applyFont="1" applyFill="1" applyBorder="1" applyAlignment="1">
      <alignment horizontal="center"/>
    </xf>
    <xf numFmtId="43" fontId="0" fillId="2" borderId="7" xfId="15" applyFont="1" applyFill="1" applyBorder="1" applyAlignment="1">
      <alignment horizontal="center"/>
    </xf>
    <xf numFmtId="43" fontId="0" fillId="2" borderId="9" xfId="15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3" fontId="0" fillId="2" borderId="17" xfId="15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98" fontId="0" fillId="11" borderId="9" xfId="15" applyNumberFormat="1" applyFill="1" applyBorder="1" applyAlignment="1">
      <alignment horizontal="center"/>
    </xf>
    <xf numFmtId="43" fontId="0" fillId="11" borderId="17" xfId="15" applyFill="1" applyBorder="1" applyAlignment="1">
      <alignment horizontal="center"/>
    </xf>
    <xf numFmtId="43" fontId="5" fillId="4" borderId="15" xfId="15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43" fontId="5" fillId="11" borderId="11" xfId="15" applyFont="1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198" fontId="0" fillId="19" borderId="8" xfId="15" applyNumberFormat="1" applyFill="1" applyBorder="1" applyAlignment="1">
      <alignment horizontal="center"/>
    </xf>
    <xf numFmtId="43" fontId="0" fillId="19" borderId="7" xfId="15" applyFill="1" applyBorder="1" applyAlignment="1">
      <alignment horizontal="center"/>
    </xf>
    <xf numFmtId="43" fontId="0" fillId="19" borderId="8" xfId="15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3" fontId="5" fillId="9" borderId="15" xfId="15" applyFont="1" applyFill="1" applyBorder="1" applyAlignment="1">
      <alignment horizontal="center"/>
    </xf>
    <xf numFmtId="0" fontId="9" fillId="19" borderId="9" xfId="0" applyFont="1" applyFill="1" applyBorder="1" applyAlignment="1">
      <alignment horizontal="center"/>
    </xf>
    <xf numFmtId="198" fontId="9" fillId="19" borderId="10" xfId="15" applyNumberFormat="1" applyFont="1" applyFill="1" applyBorder="1" applyAlignment="1">
      <alignment horizontal="center"/>
    </xf>
    <xf numFmtId="43" fontId="9" fillId="19" borderId="9" xfId="15" applyFont="1" applyFill="1" applyBorder="1" applyAlignment="1">
      <alignment horizontal="center"/>
    </xf>
    <xf numFmtId="43" fontId="9" fillId="19" borderId="10" xfId="15" applyFont="1" applyFill="1" applyBorder="1" applyAlignment="1">
      <alignment horizontal="center"/>
    </xf>
    <xf numFmtId="198" fontId="0" fillId="7" borderId="0" xfId="15" applyNumberFormat="1" applyFill="1" applyBorder="1" applyAlignment="1">
      <alignment horizontal="center"/>
    </xf>
    <xf numFmtId="43" fontId="0" fillId="7" borderId="0" xfId="15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198" fontId="0" fillId="7" borderId="13" xfId="15" applyNumberFormat="1" applyFill="1" applyBorder="1" applyAlignment="1">
      <alignment horizontal="center"/>
    </xf>
    <xf numFmtId="43" fontId="0" fillId="7" borderId="12" xfId="15" applyFill="1" applyBorder="1" applyAlignment="1">
      <alignment horizontal="center"/>
    </xf>
    <xf numFmtId="43" fontId="0" fillId="7" borderId="13" xfId="15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4" fillId="7" borderId="0" xfId="0" applyFont="1" applyFill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19" borderId="0" xfId="0" applyFont="1" applyFill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98" fontId="0" fillId="5" borderId="0" xfId="15" applyNumberFormat="1" applyFill="1" applyBorder="1" applyAlignment="1">
      <alignment horizontal="center"/>
    </xf>
    <xf numFmtId="43" fontId="0" fillId="5" borderId="1" xfId="15" applyFill="1" applyBorder="1" applyAlignment="1">
      <alignment horizontal="center"/>
    </xf>
    <xf numFmtId="43" fontId="0" fillId="5" borderId="0" xfId="15" applyFill="1" applyBorder="1" applyAlignment="1">
      <alignment horizontal="center"/>
    </xf>
    <xf numFmtId="43" fontId="5" fillId="5" borderId="16" xfId="15" applyFont="1" applyFill="1" applyBorder="1" applyAlignment="1">
      <alignment horizontal="center"/>
    </xf>
    <xf numFmtId="43" fontId="0" fillId="2" borderId="1" xfId="15" applyFill="1" applyBorder="1" applyAlignment="1">
      <alignment/>
    </xf>
    <xf numFmtId="43" fontId="0" fillId="2" borderId="0" xfId="15" applyFill="1" applyBorder="1" applyAlignment="1">
      <alignment/>
    </xf>
    <xf numFmtId="0" fontId="1" fillId="20" borderId="33" xfId="0" applyFont="1" applyFill="1" applyBorder="1" applyAlignment="1">
      <alignment horizontal="center"/>
    </xf>
    <xf numFmtId="198" fontId="4" fillId="7" borderId="24" xfId="15" applyNumberFormat="1" applyFont="1" applyFill="1" applyBorder="1" applyAlignment="1">
      <alignment horizontal="center"/>
    </xf>
    <xf numFmtId="198" fontId="0" fillId="11" borderId="24" xfId="15" applyNumberFormat="1" applyFill="1" applyBorder="1" applyAlignment="1">
      <alignment/>
    </xf>
    <xf numFmtId="0" fontId="0" fillId="11" borderId="1" xfId="0" applyFill="1" applyBorder="1" applyAlignment="1">
      <alignment/>
    </xf>
    <xf numFmtId="198" fontId="0" fillId="10" borderId="24" xfId="15" applyNumberFormat="1" applyFill="1" applyBorder="1" applyAlignment="1">
      <alignment/>
    </xf>
    <xf numFmtId="0" fontId="0" fillId="10" borderId="1" xfId="0" applyFill="1" applyBorder="1" applyAlignment="1">
      <alignment/>
    </xf>
    <xf numFmtId="43" fontId="5" fillId="7" borderId="11" xfId="15" applyFont="1" applyFill="1" applyBorder="1" applyAlignment="1">
      <alignment horizontal="center"/>
    </xf>
    <xf numFmtId="0" fontId="0" fillId="0" borderId="16" xfId="0" applyBorder="1" applyAlignment="1">
      <alignment/>
    </xf>
    <xf numFmtId="43" fontId="0" fillId="21" borderId="17" xfId="15" applyFont="1" applyFill="1" applyBorder="1" applyAlignment="1">
      <alignment horizontal="center"/>
    </xf>
    <xf numFmtId="43" fontId="0" fillId="21" borderId="0" xfId="15" applyFont="1" applyFill="1" applyBorder="1" applyAlignment="1">
      <alignment horizontal="center"/>
    </xf>
    <xf numFmtId="43" fontId="0" fillId="18" borderId="10" xfId="15" applyFont="1" applyFill="1" applyBorder="1" applyAlignment="1">
      <alignment horizontal="center"/>
    </xf>
    <xf numFmtId="43" fontId="10" fillId="2" borderId="10" xfId="15" applyFont="1" applyFill="1" applyBorder="1" applyAlignment="1">
      <alignment horizontal="center"/>
    </xf>
    <xf numFmtId="198" fontId="0" fillId="19" borderId="0" xfId="15" applyNumberFormat="1" applyFill="1" applyAlignment="1">
      <alignment horizontal="center"/>
    </xf>
    <xf numFmtId="43" fontId="0" fillId="19" borderId="0" xfId="15" applyFill="1" applyAlignment="1">
      <alignment horizontal="center"/>
    </xf>
    <xf numFmtId="0" fontId="0" fillId="19" borderId="3" xfId="0" applyFill="1" applyBorder="1" applyAlignment="1">
      <alignment horizontal="center"/>
    </xf>
    <xf numFmtId="198" fontId="0" fillId="19" borderId="2" xfId="15" applyNumberFormat="1" applyFill="1" applyBorder="1" applyAlignment="1">
      <alignment horizontal="center"/>
    </xf>
    <xf numFmtId="43" fontId="0" fillId="19" borderId="3" xfId="15" applyFill="1" applyBorder="1" applyAlignment="1">
      <alignment horizontal="center"/>
    </xf>
    <xf numFmtId="43" fontId="0" fillId="19" borderId="34" xfId="15" applyFill="1" applyBorder="1" applyAlignment="1">
      <alignment horizontal="center"/>
    </xf>
    <xf numFmtId="0" fontId="9" fillId="19" borderId="1" xfId="0" applyFont="1" applyFill="1" applyBorder="1" applyAlignment="1">
      <alignment horizontal="center"/>
    </xf>
    <xf numFmtId="198" fontId="9" fillId="19" borderId="0" xfId="15" applyNumberFormat="1" applyFont="1" applyFill="1" applyAlignment="1">
      <alignment horizontal="center"/>
    </xf>
    <xf numFmtId="43" fontId="9" fillId="19" borderId="1" xfId="15" applyFont="1" applyFill="1" applyBorder="1" applyAlignment="1">
      <alignment horizontal="center"/>
    </xf>
    <xf numFmtId="43" fontId="9" fillId="19" borderId="0" xfId="15" applyFont="1" applyFill="1" applyAlignment="1">
      <alignment horizontal="center"/>
    </xf>
    <xf numFmtId="43" fontId="0" fillId="0" borderId="7" xfId="0" applyNumberFormat="1" applyBorder="1" applyAlignment="1">
      <alignment/>
    </xf>
    <xf numFmtId="43" fontId="0" fillId="2" borderId="8" xfId="15" applyFill="1" applyBorder="1" applyAlignment="1">
      <alignment/>
    </xf>
    <xf numFmtId="43" fontId="0" fillId="2" borderId="32" xfId="15" applyFill="1" applyBorder="1" applyAlignment="1">
      <alignment/>
    </xf>
    <xf numFmtId="43" fontId="0" fillId="2" borderId="9" xfId="15" applyFill="1" applyBorder="1" applyAlignment="1">
      <alignment/>
    </xf>
    <xf numFmtId="43" fontId="0" fillId="2" borderId="10" xfId="15" applyFill="1" applyBorder="1" applyAlignment="1">
      <alignment/>
    </xf>
    <xf numFmtId="43" fontId="0" fillId="2" borderId="11" xfId="15" applyFill="1" applyBorder="1" applyAlignment="1">
      <alignment/>
    </xf>
    <xf numFmtId="0" fontId="0" fillId="5" borderId="8" xfId="0" applyFill="1" applyBorder="1" applyAlignment="1">
      <alignment horizontal="center"/>
    </xf>
    <xf numFmtId="198" fontId="0" fillId="5" borderId="8" xfId="15" applyNumberFormat="1" applyFill="1" applyBorder="1" applyAlignment="1">
      <alignment/>
    </xf>
    <xf numFmtId="43" fontId="0" fillId="5" borderId="7" xfId="15" applyFill="1" applyBorder="1" applyAlignment="1">
      <alignment/>
    </xf>
    <xf numFmtId="43" fontId="0" fillId="5" borderId="8" xfId="15" applyFill="1" applyBorder="1" applyAlignment="1">
      <alignment/>
    </xf>
    <xf numFmtId="43" fontId="0" fillId="5" borderId="35" xfId="15" applyFill="1" applyBorder="1" applyAlignment="1">
      <alignment/>
    </xf>
    <xf numFmtId="43" fontId="0" fillId="5" borderId="7" xfId="15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9" xfId="0" applyFill="1" applyBorder="1" applyAlignment="1">
      <alignment horizontal="center"/>
    </xf>
    <xf numFmtId="198" fontId="0" fillId="22" borderId="10" xfId="15" applyNumberFormat="1" applyFill="1" applyBorder="1" applyAlignment="1">
      <alignment/>
    </xf>
    <xf numFmtId="43" fontId="0" fillId="22" borderId="17" xfId="15" applyFill="1" applyBorder="1" applyAlignment="1">
      <alignment/>
    </xf>
    <xf numFmtId="43" fontId="0" fillId="22" borderId="9" xfId="15" applyFill="1" applyBorder="1" applyAlignment="1">
      <alignment/>
    </xf>
    <xf numFmtId="43" fontId="0" fillId="22" borderId="9" xfId="15" applyNumberFormat="1" applyFill="1" applyBorder="1" applyAlignment="1">
      <alignment horizontal="center"/>
    </xf>
    <xf numFmtId="43" fontId="0" fillId="0" borderId="0" xfId="0" applyNumberFormat="1" applyBorder="1" applyAlignment="1">
      <alignment/>
    </xf>
    <xf numFmtId="43" fontId="5" fillId="5" borderId="15" xfId="15" applyFont="1" applyFill="1" applyBorder="1" applyAlignment="1">
      <alignment/>
    </xf>
    <xf numFmtId="0" fontId="0" fillId="2" borderId="36" xfId="0" applyFill="1" applyBorder="1" applyAlignment="1">
      <alignment horizontal="center"/>
    </xf>
    <xf numFmtId="43" fontId="0" fillId="2" borderId="12" xfId="15" applyFill="1" applyBorder="1" applyAlignment="1">
      <alignment/>
    </xf>
    <xf numFmtId="43" fontId="0" fillId="2" borderId="13" xfId="15" applyFill="1" applyBorder="1" applyAlignment="1">
      <alignment/>
    </xf>
    <xf numFmtId="43" fontId="0" fillId="2" borderId="14" xfId="15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198" fontId="0" fillId="10" borderId="13" xfId="15" applyNumberFormat="1" applyFill="1" applyBorder="1" applyAlignment="1">
      <alignment/>
    </xf>
    <xf numFmtId="43" fontId="0" fillId="10" borderId="37" xfId="15" applyFill="1" applyBorder="1" applyAlignment="1">
      <alignment/>
    </xf>
    <xf numFmtId="43" fontId="0" fillId="10" borderId="12" xfId="15" applyFill="1" applyBorder="1" applyAlignment="1">
      <alignment/>
    </xf>
    <xf numFmtId="43" fontId="0" fillId="10" borderId="12" xfId="15" applyNumberFormat="1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198" fontId="0" fillId="23" borderId="0" xfId="15" applyNumberFormat="1" applyFill="1" applyBorder="1" applyAlignment="1">
      <alignment/>
    </xf>
    <xf numFmtId="43" fontId="0" fillId="23" borderId="1" xfId="15" applyFill="1" applyBorder="1" applyAlignment="1">
      <alignment/>
    </xf>
    <xf numFmtId="43" fontId="0" fillId="23" borderId="1" xfId="15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198" fontId="0" fillId="17" borderId="8" xfId="15" applyNumberFormat="1" applyFill="1" applyBorder="1" applyAlignment="1">
      <alignment/>
    </xf>
    <xf numFmtId="43" fontId="0" fillId="17" borderId="7" xfId="15" applyFill="1" applyBorder="1" applyAlignment="1">
      <alignment/>
    </xf>
    <xf numFmtId="43" fontId="0" fillId="17" borderId="8" xfId="15" applyFill="1" applyBorder="1" applyAlignment="1">
      <alignment/>
    </xf>
    <xf numFmtId="43" fontId="0" fillId="17" borderId="7" xfId="15" applyNumberFormat="1" applyFill="1" applyBorder="1" applyAlignment="1">
      <alignment horizontal="center"/>
    </xf>
    <xf numFmtId="43" fontId="0" fillId="2" borderId="7" xfId="15" applyFill="1" applyBorder="1" applyAlignment="1">
      <alignment/>
    </xf>
    <xf numFmtId="43" fontId="8" fillId="17" borderId="15" xfId="15" applyFont="1" applyFill="1" applyBorder="1" applyAlignment="1">
      <alignment/>
    </xf>
    <xf numFmtId="43" fontId="0" fillId="2" borderId="16" xfId="15" applyFill="1" applyBorder="1" applyAlignment="1">
      <alignment/>
    </xf>
    <xf numFmtId="0" fontId="0" fillId="19" borderId="0" xfId="0" applyFill="1" applyBorder="1" applyAlignment="1">
      <alignment horizontal="center"/>
    </xf>
    <xf numFmtId="198" fontId="0" fillId="19" borderId="0" xfId="15" applyNumberFormat="1" applyFill="1" applyBorder="1" applyAlignment="1">
      <alignment/>
    </xf>
    <xf numFmtId="43" fontId="0" fillId="19" borderId="1" xfId="15" applyFill="1" applyBorder="1" applyAlignment="1">
      <alignment/>
    </xf>
    <xf numFmtId="43" fontId="0" fillId="19" borderId="1" xfId="15" applyNumberFormat="1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0" fontId="0" fillId="22" borderId="7" xfId="0" applyFill="1" applyBorder="1" applyAlignment="1">
      <alignment horizontal="center"/>
    </xf>
    <xf numFmtId="198" fontId="0" fillId="22" borderId="8" xfId="15" applyNumberFormat="1" applyFill="1" applyBorder="1" applyAlignment="1">
      <alignment/>
    </xf>
    <xf numFmtId="43" fontId="0" fillId="22" borderId="7" xfId="15" applyFill="1" applyBorder="1" applyAlignment="1">
      <alignment/>
    </xf>
    <xf numFmtId="43" fontId="0" fillId="22" borderId="8" xfId="15" applyFill="1" applyBorder="1" applyAlignment="1">
      <alignment/>
    </xf>
    <xf numFmtId="43" fontId="0" fillId="22" borderId="7" xfId="15" applyNumberFormat="1" applyFill="1" applyBorder="1" applyAlignment="1">
      <alignment horizontal="center"/>
    </xf>
    <xf numFmtId="43" fontId="5" fillId="22" borderId="15" xfId="15" applyFont="1" applyFill="1" applyBorder="1" applyAlignment="1">
      <alignment/>
    </xf>
    <xf numFmtId="0" fontId="0" fillId="19" borderId="10" xfId="0" applyFill="1" applyBorder="1" applyAlignment="1">
      <alignment horizontal="center"/>
    </xf>
    <xf numFmtId="198" fontId="0" fillId="19" borderId="10" xfId="15" applyNumberFormat="1" applyFill="1" applyBorder="1" applyAlignment="1">
      <alignment/>
    </xf>
    <xf numFmtId="43" fontId="0" fillId="19" borderId="9" xfId="15" applyFill="1" applyBorder="1" applyAlignment="1">
      <alignment/>
    </xf>
    <xf numFmtId="43" fontId="0" fillId="19" borderId="9" xfId="15" applyNumberFormat="1" applyFill="1" applyBorder="1" applyAlignment="1">
      <alignment horizontal="center"/>
    </xf>
    <xf numFmtId="43" fontId="8" fillId="18" borderId="0" xfId="15" applyFont="1" applyFill="1" applyAlignment="1">
      <alignment/>
    </xf>
    <xf numFmtId="43" fontId="8" fillId="18" borderId="0" xfId="15" applyFont="1" applyFill="1" applyAlignment="1">
      <alignment horizontal="center"/>
    </xf>
    <xf numFmtId="43" fontId="0" fillId="18" borderId="0" xfId="15" applyFont="1" applyFill="1" applyBorder="1" applyAlignment="1">
      <alignment horizontal="center"/>
    </xf>
    <xf numFmtId="43" fontId="0" fillId="18" borderId="3" xfId="15" applyFont="1" applyFill="1" applyBorder="1" applyAlignment="1">
      <alignment horizontal="center"/>
    </xf>
    <xf numFmtId="0" fontId="5" fillId="18" borderId="0" xfId="0" applyFont="1" applyFill="1" applyAlignment="1">
      <alignment horizontal="center"/>
    </xf>
    <xf numFmtId="43" fontId="5" fillId="18" borderId="0" xfId="15" applyFont="1" applyFill="1" applyAlignment="1">
      <alignment/>
    </xf>
    <xf numFmtId="0" fontId="0" fillId="9" borderId="13" xfId="0" applyFill="1" applyBorder="1" applyAlignment="1">
      <alignment horizontal="center"/>
    </xf>
    <xf numFmtId="198" fontId="0" fillId="9" borderId="13" xfId="15" applyNumberFormat="1" applyFill="1" applyBorder="1" applyAlignment="1">
      <alignment/>
    </xf>
    <xf numFmtId="43" fontId="0" fillId="9" borderId="12" xfId="15" applyFill="1" applyBorder="1" applyAlignment="1">
      <alignment/>
    </xf>
    <xf numFmtId="43" fontId="0" fillId="9" borderId="13" xfId="15" applyFill="1" applyBorder="1" applyAlignment="1">
      <alignment/>
    </xf>
    <xf numFmtId="43" fontId="0" fillId="9" borderId="12" xfId="15" applyNumberForma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198" fontId="0" fillId="11" borderId="8" xfId="15" applyNumberFormat="1" applyFill="1" applyBorder="1" applyAlignment="1">
      <alignment/>
    </xf>
    <xf numFmtId="43" fontId="0" fillId="11" borderId="7" xfId="15" applyFill="1" applyBorder="1" applyAlignment="1">
      <alignment/>
    </xf>
    <xf numFmtId="43" fontId="0" fillId="11" borderId="7" xfId="15" applyNumberFormat="1" applyFill="1" applyBorder="1" applyAlignment="1">
      <alignment horizontal="center"/>
    </xf>
    <xf numFmtId="43" fontId="5" fillId="11" borderId="15" xfId="15" applyFont="1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198" fontId="0" fillId="16" borderId="10" xfId="15" applyNumberFormat="1" applyFill="1" applyBorder="1" applyAlignment="1">
      <alignment/>
    </xf>
    <xf numFmtId="43" fontId="0" fillId="16" borderId="9" xfId="15" applyFill="1" applyBorder="1" applyAlignment="1">
      <alignment/>
    </xf>
    <xf numFmtId="43" fontId="0" fillId="16" borderId="9" xfId="15" applyNumberFormat="1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198" fontId="0" fillId="16" borderId="8" xfId="15" applyNumberFormat="1" applyFill="1" applyBorder="1" applyAlignment="1">
      <alignment/>
    </xf>
    <xf numFmtId="43" fontId="0" fillId="16" borderId="7" xfId="15" applyFill="1" applyBorder="1" applyAlignment="1">
      <alignment/>
    </xf>
    <xf numFmtId="43" fontId="0" fillId="16" borderId="8" xfId="15" applyFill="1" applyBorder="1" applyAlignment="1">
      <alignment/>
    </xf>
    <xf numFmtId="43" fontId="0" fillId="16" borderId="7" xfId="15" applyNumberFormat="1" applyFill="1" applyBorder="1" applyAlignment="1">
      <alignment horizontal="center"/>
    </xf>
    <xf numFmtId="43" fontId="5" fillId="16" borderId="15" xfId="15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9" xfId="0" applyFill="1" applyBorder="1" applyAlignment="1">
      <alignment horizontal="center"/>
    </xf>
    <xf numFmtId="198" fontId="0" fillId="24" borderId="10" xfId="15" applyNumberFormat="1" applyFill="1" applyBorder="1" applyAlignment="1">
      <alignment/>
    </xf>
    <xf numFmtId="43" fontId="0" fillId="24" borderId="9" xfId="15" applyFill="1" applyBorder="1" applyAlignment="1">
      <alignment/>
    </xf>
    <xf numFmtId="43" fontId="0" fillId="24" borderId="9" xfId="15" applyNumberForma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198" fontId="0" fillId="9" borderId="8" xfId="15" applyNumberFormat="1" applyFill="1" applyBorder="1" applyAlignment="1">
      <alignment/>
    </xf>
    <xf numFmtId="43" fontId="0" fillId="9" borderId="7" xfId="15" applyFill="1" applyBorder="1" applyAlignment="1">
      <alignment/>
    </xf>
    <xf numFmtId="43" fontId="0" fillId="9" borderId="7" xfId="15" applyNumberFormat="1" applyFill="1" applyBorder="1" applyAlignment="1">
      <alignment horizontal="center"/>
    </xf>
    <xf numFmtId="43" fontId="0" fillId="2" borderId="15" xfId="15" applyFill="1" applyBorder="1" applyAlignment="1">
      <alignment/>
    </xf>
    <xf numFmtId="198" fontId="0" fillId="9" borderId="10" xfId="15" applyNumberFormat="1" applyFill="1" applyBorder="1" applyAlignment="1">
      <alignment/>
    </xf>
    <xf numFmtId="43" fontId="0" fillId="9" borderId="9" xfId="15" applyFill="1" applyBorder="1" applyAlignment="1">
      <alignment/>
    </xf>
    <xf numFmtId="43" fontId="0" fillId="9" borderId="10" xfId="15" applyFill="1" applyBorder="1" applyAlignment="1">
      <alignment/>
    </xf>
    <xf numFmtId="43" fontId="0" fillId="9" borderId="9" xfId="15" applyNumberForma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98" fontId="0" fillId="24" borderId="13" xfId="15" applyNumberFormat="1" applyFill="1" applyBorder="1" applyAlignment="1">
      <alignment/>
    </xf>
    <xf numFmtId="43" fontId="0" fillId="24" borderId="12" xfId="15" applyFill="1" applyBorder="1" applyAlignment="1">
      <alignment/>
    </xf>
    <xf numFmtId="43" fontId="0" fillId="24" borderId="12" xfId="15" applyNumberFormat="1" applyFill="1" applyBorder="1" applyAlignment="1">
      <alignment horizontal="center"/>
    </xf>
    <xf numFmtId="43" fontId="8" fillId="24" borderId="14" xfId="15" applyFont="1" applyFill="1" applyBorder="1" applyAlignment="1">
      <alignment/>
    </xf>
    <xf numFmtId="0" fontId="0" fillId="10" borderId="0" xfId="0" applyFill="1" applyBorder="1" applyAlignment="1">
      <alignment horizontal="center"/>
    </xf>
    <xf numFmtId="198" fontId="0" fillId="10" borderId="0" xfId="15" applyNumberFormat="1" applyFill="1" applyBorder="1" applyAlignment="1">
      <alignment/>
    </xf>
    <xf numFmtId="43" fontId="0" fillId="10" borderId="1" xfId="15" applyFill="1" applyBorder="1" applyAlignment="1">
      <alignment/>
    </xf>
    <xf numFmtId="43" fontId="0" fillId="10" borderId="1" xfId="15" applyNumberFormat="1" applyFill="1" applyBorder="1" applyAlignment="1">
      <alignment horizontal="center"/>
    </xf>
    <xf numFmtId="43" fontId="0" fillId="10" borderId="0" xfId="15" applyFill="1" applyBorder="1" applyAlignment="1">
      <alignment/>
    </xf>
    <xf numFmtId="0" fontId="0" fillId="10" borderId="8" xfId="0" applyFill="1" applyBorder="1" applyAlignment="1">
      <alignment horizontal="center"/>
    </xf>
    <xf numFmtId="198" fontId="0" fillId="10" borderId="8" xfId="15" applyNumberFormat="1" applyFill="1" applyBorder="1" applyAlignment="1">
      <alignment/>
    </xf>
    <xf numFmtId="43" fontId="0" fillId="10" borderId="7" xfId="15" applyFill="1" applyBorder="1" applyAlignment="1">
      <alignment/>
    </xf>
    <xf numFmtId="43" fontId="0" fillId="10" borderId="7" xfId="15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98" fontId="0" fillId="7" borderId="13" xfId="15" applyNumberFormat="1" applyFill="1" applyBorder="1" applyAlignment="1">
      <alignment/>
    </xf>
    <xf numFmtId="43" fontId="0" fillId="7" borderId="12" xfId="15" applyFill="1" applyBorder="1" applyAlignment="1">
      <alignment/>
    </xf>
    <xf numFmtId="43" fontId="0" fillId="7" borderId="12" xfId="15" applyNumberFormat="1" applyFill="1" applyBorder="1" applyAlignment="1">
      <alignment horizontal="center"/>
    </xf>
    <xf numFmtId="43" fontId="0" fillId="9" borderId="8" xfId="15" applyFill="1" applyBorder="1" applyAlignment="1">
      <alignment/>
    </xf>
    <xf numFmtId="0" fontId="0" fillId="7" borderId="8" xfId="0" applyFill="1" applyBorder="1" applyAlignment="1">
      <alignment horizontal="center"/>
    </xf>
    <xf numFmtId="198" fontId="0" fillId="7" borderId="8" xfId="15" applyNumberFormat="1" applyFill="1" applyBorder="1" applyAlignment="1">
      <alignment/>
    </xf>
    <xf numFmtId="43" fontId="0" fillId="7" borderId="7" xfId="15" applyFill="1" applyBorder="1" applyAlignment="1">
      <alignment/>
    </xf>
    <xf numFmtId="43" fontId="0" fillId="7" borderId="8" xfId="15" applyFill="1" applyBorder="1" applyAlignment="1">
      <alignment/>
    </xf>
    <xf numFmtId="43" fontId="0" fillId="7" borderId="7" xfId="15" applyNumberFormat="1" applyFill="1" applyBorder="1" applyAlignment="1">
      <alignment horizontal="center"/>
    </xf>
    <xf numFmtId="43" fontId="5" fillId="7" borderId="15" xfId="15" applyFont="1" applyFill="1" applyBorder="1" applyAlignment="1">
      <alignment/>
    </xf>
    <xf numFmtId="0" fontId="0" fillId="6" borderId="10" xfId="0" applyFill="1" applyBorder="1" applyAlignment="1">
      <alignment horizontal="center"/>
    </xf>
    <xf numFmtId="198" fontId="0" fillId="6" borderId="10" xfId="15" applyNumberFormat="1" applyFill="1" applyBorder="1" applyAlignment="1">
      <alignment/>
    </xf>
    <xf numFmtId="43" fontId="0" fillId="6" borderId="9" xfId="15" applyFill="1" applyBorder="1" applyAlignment="1">
      <alignment/>
    </xf>
    <xf numFmtId="43" fontId="0" fillId="6" borderId="10" xfId="15" applyFill="1" applyBorder="1" applyAlignment="1">
      <alignment/>
    </xf>
    <xf numFmtId="43" fontId="0" fillId="6" borderId="9" xfId="15" applyNumberFormat="1" applyFill="1" applyBorder="1" applyAlignment="1">
      <alignment horizontal="center"/>
    </xf>
    <xf numFmtId="43" fontId="5" fillId="6" borderId="11" xfId="15" applyFont="1" applyFill="1" applyBorder="1" applyAlignment="1">
      <alignment/>
    </xf>
    <xf numFmtId="0" fontId="0" fillId="22" borderId="0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198" fontId="0" fillId="22" borderId="0" xfId="15" applyNumberFormat="1" applyFill="1" applyBorder="1" applyAlignment="1">
      <alignment/>
    </xf>
    <xf numFmtId="43" fontId="0" fillId="22" borderId="1" xfId="15" applyFill="1" applyBorder="1" applyAlignment="1">
      <alignment/>
    </xf>
    <xf numFmtId="43" fontId="0" fillId="22" borderId="1" xfId="15" applyNumberFormat="1" applyFill="1" applyBorder="1" applyAlignment="1">
      <alignment horizontal="center"/>
    </xf>
    <xf numFmtId="43" fontId="0" fillId="22" borderId="0" xfId="15" applyFill="1" applyBorder="1" applyAlignment="1">
      <alignment/>
    </xf>
    <xf numFmtId="198" fontId="0" fillId="11" borderId="10" xfId="15" applyNumberFormat="1" applyFill="1" applyBorder="1" applyAlignment="1">
      <alignment/>
    </xf>
    <xf numFmtId="43" fontId="0" fillId="11" borderId="9" xfId="15" applyFill="1" applyBorder="1" applyAlignment="1">
      <alignment/>
    </xf>
    <xf numFmtId="43" fontId="0" fillId="11" borderId="9" xfId="15" applyNumberForma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198" fontId="0" fillId="22" borderId="13" xfId="15" applyNumberFormat="1" applyFill="1" applyBorder="1" applyAlignment="1">
      <alignment/>
    </xf>
    <xf numFmtId="43" fontId="0" fillId="22" borderId="12" xfId="15" applyFill="1" applyBorder="1" applyAlignment="1">
      <alignment/>
    </xf>
    <xf numFmtId="43" fontId="0" fillId="22" borderId="12" xfId="15" applyNumberFormat="1" applyFill="1" applyBorder="1" applyAlignment="1">
      <alignment horizontal="center"/>
    </xf>
    <xf numFmtId="43" fontId="8" fillId="22" borderId="11" xfId="15" applyFont="1" applyFill="1" applyBorder="1" applyAlignment="1">
      <alignment/>
    </xf>
    <xf numFmtId="0" fontId="10" fillId="9" borderId="0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198" fontId="10" fillId="9" borderId="0" xfId="15" applyNumberFormat="1" applyFont="1" applyFill="1" applyBorder="1" applyAlignment="1">
      <alignment/>
    </xf>
    <xf numFmtId="43" fontId="10" fillId="9" borderId="1" xfId="15" applyFont="1" applyFill="1" applyBorder="1" applyAlignment="1">
      <alignment/>
    </xf>
    <xf numFmtId="43" fontId="10" fillId="9" borderId="1" xfId="15" applyNumberFormat="1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198" fontId="11" fillId="9" borderId="0" xfId="15" applyNumberFormat="1" applyFont="1" applyFill="1" applyBorder="1" applyAlignment="1">
      <alignment/>
    </xf>
    <xf numFmtId="43" fontId="11" fillId="9" borderId="1" xfId="15" applyFont="1" applyFill="1" applyBorder="1" applyAlignment="1">
      <alignment/>
    </xf>
    <xf numFmtId="43" fontId="11" fillId="9" borderId="1" xfId="15" applyNumberFormat="1" applyFont="1" applyFill="1" applyBorder="1" applyAlignment="1">
      <alignment horizontal="center"/>
    </xf>
    <xf numFmtId="43" fontId="11" fillId="9" borderId="0" xfId="15" applyFont="1" applyFill="1" applyBorder="1" applyAlignment="1">
      <alignment/>
    </xf>
    <xf numFmtId="0" fontId="11" fillId="9" borderId="10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198" fontId="11" fillId="9" borderId="10" xfId="15" applyNumberFormat="1" applyFont="1" applyFill="1" applyBorder="1" applyAlignment="1">
      <alignment/>
    </xf>
    <xf numFmtId="43" fontId="11" fillId="9" borderId="9" xfId="15" applyFont="1" applyFill="1" applyBorder="1" applyAlignment="1">
      <alignment/>
    </xf>
    <xf numFmtId="43" fontId="11" fillId="9" borderId="9" xfId="15" applyNumberFormat="1" applyFon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198" fontId="0" fillId="16" borderId="13" xfId="15" applyNumberFormat="1" applyFill="1" applyBorder="1" applyAlignment="1">
      <alignment/>
    </xf>
    <xf numFmtId="43" fontId="0" fillId="16" borderId="12" xfId="15" applyFill="1" applyBorder="1" applyAlignment="1">
      <alignment/>
    </xf>
    <xf numFmtId="43" fontId="0" fillId="16" borderId="12" xfId="15" applyNumberForma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198" fontId="0" fillId="11" borderId="0" xfId="15" applyNumberFormat="1" applyFill="1" applyBorder="1" applyAlignment="1">
      <alignment/>
    </xf>
    <xf numFmtId="43" fontId="0" fillId="11" borderId="1" xfId="15" applyFill="1" applyBorder="1" applyAlignment="1">
      <alignment/>
    </xf>
    <xf numFmtId="43" fontId="0" fillId="11" borderId="1" xfId="15" applyNumberForma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198" fontId="0" fillId="14" borderId="0" xfId="15" applyNumberFormat="1" applyFill="1" applyBorder="1" applyAlignment="1">
      <alignment/>
    </xf>
    <xf numFmtId="43" fontId="0" fillId="14" borderId="1" xfId="15" applyFill="1" applyBorder="1" applyAlignment="1">
      <alignment/>
    </xf>
    <xf numFmtId="43" fontId="0" fillId="14" borderId="1" xfId="15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98" fontId="0" fillId="7" borderId="10" xfId="15" applyNumberFormat="1" applyFill="1" applyBorder="1" applyAlignment="1">
      <alignment/>
    </xf>
    <xf numFmtId="43" fontId="0" fillId="7" borderId="9" xfId="15" applyFill="1" applyBorder="1" applyAlignment="1">
      <alignment/>
    </xf>
    <xf numFmtId="43" fontId="0" fillId="7" borderId="10" xfId="15" applyFill="1" applyBorder="1" applyAlignment="1">
      <alignment/>
    </xf>
    <xf numFmtId="43" fontId="0" fillId="7" borderId="9" xfId="15" applyNumberFormat="1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198" fontId="0" fillId="14" borderId="8" xfId="15" applyNumberFormat="1" applyFill="1" applyBorder="1" applyAlignment="1">
      <alignment/>
    </xf>
    <xf numFmtId="43" fontId="0" fillId="14" borderId="7" xfId="15" applyFill="1" applyBorder="1" applyAlignment="1">
      <alignment/>
    </xf>
    <xf numFmtId="43" fontId="0" fillId="14" borderId="7" xfId="15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198" fontId="0" fillId="10" borderId="10" xfId="15" applyNumberFormat="1" applyFill="1" applyBorder="1" applyAlignment="1">
      <alignment/>
    </xf>
    <xf numFmtId="43" fontId="0" fillId="10" borderId="9" xfId="15" applyFill="1" applyBorder="1" applyAlignment="1">
      <alignment/>
    </xf>
    <xf numFmtId="43" fontId="0" fillId="10" borderId="9" xfId="15" applyNumberFormat="1" applyFill="1" applyBorder="1" applyAlignment="1">
      <alignment horizontal="center"/>
    </xf>
    <xf numFmtId="43" fontId="5" fillId="14" borderId="15" xfId="15" applyFont="1" applyFill="1" applyBorder="1" applyAlignment="1">
      <alignment/>
    </xf>
    <xf numFmtId="0" fontId="11" fillId="9" borderId="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198" fontId="11" fillId="9" borderId="8" xfId="15" applyNumberFormat="1" applyFont="1" applyFill="1" applyBorder="1" applyAlignment="1">
      <alignment/>
    </xf>
    <xf numFmtId="43" fontId="11" fillId="9" borderId="7" xfId="15" applyFont="1" applyFill="1" applyBorder="1" applyAlignment="1">
      <alignment/>
    </xf>
    <xf numFmtId="43" fontId="11" fillId="9" borderId="8" xfId="15" applyFont="1" applyFill="1" applyBorder="1" applyAlignment="1">
      <alignment/>
    </xf>
    <xf numFmtId="43" fontId="11" fillId="9" borderId="7" xfId="15" applyNumberFormat="1" applyFont="1" applyFill="1" applyBorder="1" applyAlignment="1">
      <alignment horizontal="center"/>
    </xf>
    <xf numFmtId="198" fontId="0" fillId="9" borderId="0" xfId="15" applyNumberFormat="1" applyFill="1" applyBorder="1" applyAlignment="1">
      <alignment/>
    </xf>
    <xf numFmtId="43" fontId="0" fillId="9" borderId="1" xfId="15" applyFill="1" applyBorder="1" applyAlignment="1">
      <alignment/>
    </xf>
    <xf numFmtId="43" fontId="0" fillId="9" borderId="1" xfId="15" applyNumberFormat="1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23" borderId="9" xfId="0" applyFill="1" applyBorder="1" applyAlignment="1">
      <alignment horizontal="center"/>
    </xf>
    <xf numFmtId="198" fontId="0" fillId="23" borderId="10" xfId="15" applyNumberFormat="1" applyFill="1" applyBorder="1" applyAlignment="1">
      <alignment/>
    </xf>
    <xf numFmtId="43" fontId="0" fillId="23" borderId="9" xfId="15" applyFill="1" applyBorder="1" applyAlignment="1">
      <alignment/>
    </xf>
    <xf numFmtId="43" fontId="0" fillId="23" borderId="10" xfId="15" applyFill="1" applyBorder="1" applyAlignment="1">
      <alignment/>
    </xf>
    <xf numFmtId="43" fontId="0" fillId="23" borderId="9" xfId="15" applyNumberForma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198" fontId="0" fillId="19" borderId="13" xfId="15" applyNumberFormat="1" applyFill="1" applyBorder="1" applyAlignment="1">
      <alignment/>
    </xf>
    <xf numFmtId="43" fontId="0" fillId="19" borderId="12" xfId="15" applyFill="1" applyBorder="1" applyAlignment="1">
      <alignment/>
    </xf>
    <xf numFmtId="43" fontId="0" fillId="19" borderId="12" xfId="15" applyNumberFormat="1" applyFill="1" applyBorder="1" applyAlignment="1">
      <alignment horizontal="center"/>
    </xf>
    <xf numFmtId="43" fontId="8" fillId="19" borderId="14" xfId="15" applyFont="1" applyFill="1" applyBorder="1" applyAlignment="1">
      <alignment/>
    </xf>
    <xf numFmtId="43" fontId="0" fillId="18" borderId="10" xfId="15" applyFill="1" applyBorder="1" applyAlignment="1">
      <alignment/>
    </xf>
    <xf numFmtId="43" fontId="0" fillId="7" borderId="13" xfId="15" applyFill="1" applyBorder="1" applyAlignment="1">
      <alignment/>
    </xf>
    <xf numFmtId="43" fontId="5" fillId="7" borderId="14" xfId="15" applyFont="1" applyFill="1" applyBorder="1" applyAlignment="1">
      <alignment/>
    </xf>
    <xf numFmtId="0" fontId="0" fillId="17" borderId="13" xfId="0" applyFill="1" applyBorder="1" applyAlignment="1">
      <alignment horizontal="center"/>
    </xf>
    <xf numFmtId="198" fontId="0" fillId="17" borderId="13" xfId="15" applyNumberFormat="1" applyFill="1" applyBorder="1" applyAlignment="1">
      <alignment/>
    </xf>
    <xf numFmtId="43" fontId="0" fillId="17" borderId="12" xfId="15" applyFill="1" applyBorder="1" applyAlignment="1">
      <alignment/>
    </xf>
    <xf numFmtId="43" fontId="0" fillId="17" borderId="12" xfId="15" applyNumberFormat="1" applyFill="1" applyBorder="1" applyAlignment="1">
      <alignment horizontal="center"/>
    </xf>
    <xf numFmtId="43" fontId="0" fillId="18" borderId="13" xfId="15" applyFill="1" applyBorder="1" applyAlignment="1">
      <alignment/>
    </xf>
    <xf numFmtId="0" fontId="0" fillId="14" borderId="13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198" fontId="0" fillId="14" borderId="13" xfId="15" applyNumberFormat="1" applyFill="1" applyBorder="1" applyAlignment="1">
      <alignment/>
    </xf>
    <xf numFmtId="43" fontId="0" fillId="14" borderId="12" xfId="15" applyFill="1" applyBorder="1" applyAlignment="1">
      <alignment/>
    </xf>
    <xf numFmtId="43" fontId="0" fillId="14" borderId="12" xfId="15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198" fontId="0" fillId="17" borderId="10" xfId="15" applyNumberFormat="1" applyFill="1" applyBorder="1" applyAlignment="1">
      <alignment/>
    </xf>
    <xf numFmtId="43" fontId="0" fillId="17" borderId="9" xfId="15" applyFill="1" applyBorder="1" applyAlignment="1">
      <alignment/>
    </xf>
    <xf numFmtId="43" fontId="0" fillId="17" borderId="9" xfId="15" applyNumberFormat="1" applyFill="1" applyBorder="1" applyAlignment="1">
      <alignment horizontal="center"/>
    </xf>
    <xf numFmtId="43" fontId="8" fillId="17" borderId="11" xfId="15" applyFont="1" applyFill="1" applyBorder="1" applyAlignment="1">
      <alignment/>
    </xf>
    <xf numFmtId="43" fontId="5" fillId="14" borderId="14" xfId="15" applyFont="1" applyFill="1" applyBorder="1" applyAlignment="1">
      <alignment/>
    </xf>
    <xf numFmtId="43" fontId="8" fillId="10" borderId="16" xfId="15" applyFont="1" applyFill="1" applyBorder="1" applyAlignment="1">
      <alignment/>
    </xf>
    <xf numFmtId="0" fontId="0" fillId="23" borderId="13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198" fontId="0" fillId="23" borderId="13" xfId="15" applyNumberFormat="1" applyFill="1" applyBorder="1" applyAlignment="1">
      <alignment/>
    </xf>
    <xf numFmtId="43" fontId="0" fillId="23" borderId="12" xfId="15" applyFill="1" applyBorder="1" applyAlignment="1">
      <alignment/>
    </xf>
    <xf numFmtId="43" fontId="0" fillId="23" borderId="13" xfId="15" applyFill="1" applyBorder="1" applyAlignment="1">
      <alignment/>
    </xf>
    <xf numFmtId="43" fontId="0" fillId="23" borderId="12" xfId="15" applyNumberForma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198" fontId="0" fillId="13" borderId="8" xfId="15" applyNumberFormat="1" applyFill="1" applyBorder="1" applyAlignment="1">
      <alignment/>
    </xf>
    <xf numFmtId="43" fontId="0" fillId="13" borderId="7" xfId="15" applyFill="1" applyBorder="1" applyAlignment="1">
      <alignment/>
    </xf>
    <xf numFmtId="43" fontId="0" fillId="13" borderId="8" xfId="15" applyFill="1" applyBorder="1" applyAlignment="1">
      <alignment/>
    </xf>
    <xf numFmtId="43" fontId="0" fillId="13" borderId="7" xfId="15" applyNumberForma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20" borderId="36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0" borderId="3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workbookViewId="0" topLeftCell="A95">
      <selection activeCell="F10" sqref="F10"/>
    </sheetView>
  </sheetViews>
  <sheetFormatPr defaultColWidth="9.140625" defaultRowHeight="21.75"/>
  <cols>
    <col min="1" max="1" width="13.00390625" style="0" customWidth="1"/>
    <col min="2" max="2" width="8.8515625" style="0" customWidth="1"/>
    <col min="3" max="3" width="8.7109375" style="0" customWidth="1"/>
    <col min="4" max="4" width="4.57421875" style="0" customWidth="1"/>
    <col min="5" max="5" width="8.8515625" style="0" customWidth="1"/>
    <col min="7" max="7" width="8.00390625" style="0" customWidth="1"/>
    <col min="8" max="8" width="7.7109375" style="0" customWidth="1"/>
    <col min="9" max="9" width="12.57421875" style="0" customWidth="1"/>
    <col min="10" max="10" width="11.8515625" style="0" customWidth="1"/>
    <col min="11" max="11" width="11.421875" style="0" customWidth="1"/>
    <col min="12" max="12" width="9.7109375" style="0" customWidth="1"/>
    <col min="13" max="13" width="11.28125" style="0" customWidth="1"/>
    <col min="14" max="14" width="11.140625" style="0" customWidth="1"/>
    <col min="15" max="15" width="10.00390625" style="0" bestFit="1" customWidth="1"/>
  </cols>
  <sheetData>
    <row r="1" spans="1:12" ht="21.75">
      <c r="A1" s="541" t="s">
        <v>58</v>
      </c>
      <c r="B1" s="541"/>
      <c r="C1" s="541"/>
      <c r="D1" s="541"/>
      <c r="E1" s="541"/>
      <c r="F1" s="541"/>
      <c r="G1" s="541"/>
      <c r="H1" s="541"/>
      <c r="I1" s="541"/>
      <c r="J1" s="541"/>
      <c r="K1" s="542"/>
      <c r="L1" s="12"/>
    </row>
    <row r="2" spans="1:12" ht="21.75">
      <c r="A2" s="13" t="s">
        <v>0</v>
      </c>
      <c r="B2" s="14" t="s">
        <v>1</v>
      </c>
      <c r="C2" s="14" t="s">
        <v>12</v>
      </c>
      <c r="D2" s="13" t="s">
        <v>13</v>
      </c>
      <c r="E2" s="13" t="s">
        <v>11</v>
      </c>
      <c r="F2" s="13" t="s">
        <v>4</v>
      </c>
      <c r="G2" s="13" t="s">
        <v>14</v>
      </c>
      <c r="H2" s="13" t="s">
        <v>6</v>
      </c>
      <c r="I2" s="11" t="s">
        <v>7</v>
      </c>
      <c r="J2" s="13" t="s">
        <v>9</v>
      </c>
      <c r="K2" s="13" t="s">
        <v>101</v>
      </c>
      <c r="L2" s="15" t="s">
        <v>10</v>
      </c>
    </row>
    <row r="3" spans="1:15" ht="21.75">
      <c r="A3" s="17">
        <v>42</v>
      </c>
      <c r="B3" s="17" t="s">
        <v>15</v>
      </c>
      <c r="C3" s="17"/>
      <c r="D3" s="96" t="s">
        <v>16</v>
      </c>
      <c r="E3" s="96" t="s">
        <v>17</v>
      </c>
      <c r="F3" s="97">
        <v>1400</v>
      </c>
      <c r="G3" s="98">
        <v>15</v>
      </c>
      <c r="H3" s="98">
        <v>42</v>
      </c>
      <c r="I3" s="98">
        <v>2.94</v>
      </c>
      <c r="J3" s="98">
        <v>-21044.94</v>
      </c>
      <c r="O3" s="1"/>
    </row>
    <row r="4" spans="1:15" ht="21.75">
      <c r="A4" s="17">
        <v>56</v>
      </c>
      <c r="B4" s="17" t="s">
        <v>18</v>
      </c>
      <c r="C4" s="17"/>
      <c r="D4" s="53" t="s">
        <v>19</v>
      </c>
      <c r="E4" s="53" t="s">
        <v>17</v>
      </c>
      <c r="F4" s="54">
        <v>400</v>
      </c>
      <c r="G4" s="55">
        <v>26.5</v>
      </c>
      <c r="H4" s="55">
        <v>21.2</v>
      </c>
      <c r="I4" s="55">
        <v>1.48</v>
      </c>
      <c r="J4" s="55">
        <v>-10622.68</v>
      </c>
      <c r="N4" s="1"/>
      <c r="O4" s="1"/>
    </row>
    <row r="5" spans="1:15" ht="21.75">
      <c r="A5" s="17">
        <v>57</v>
      </c>
      <c r="B5" s="17" t="s">
        <v>20</v>
      </c>
      <c r="C5" s="17"/>
      <c r="D5" s="56" t="s">
        <v>21</v>
      </c>
      <c r="E5" s="56" t="s">
        <v>17</v>
      </c>
      <c r="F5" s="57">
        <v>500</v>
      </c>
      <c r="G5" s="58">
        <v>45.5</v>
      </c>
      <c r="H5" s="58">
        <v>45.5</v>
      </c>
      <c r="I5" s="58">
        <v>3.19</v>
      </c>
      <c r="J5" s="58">
        <v>-22798.69</v>
      </c>
      <c r="N5" s="1"/>
      <c r="O5" s="1"/>
    </row>
    <row r="6" spans="14:15" ht="22.5" thickBot="1">
      <c r="N6" s="1"/>
      <c r="O6" s="1"/>
    </row>
    <row r="7" spans="1:12" ht="22.5" thickBot="1">
      <c r="A7" s="543" t="s">
        <v>58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5"/>
    </row>
    <row r="8" spans="1:14" ht="22.5" thickBot="1">
      <c r="A8" s="59" t="s">
        <v>1</v>
      </c>
      <c r="B8" s="59" t="s">
        <v>8</v>
      </c>
      <c r="C8" s="59" t="s">
        <v>3</v>
      </c>
      <c r="D8" s="59" t="s">
        <v>11</v>
      </c>
      <c r="E8" s="59" t="s">
        <v>4</v>
      </c>
      <c r="F8" s="59" t="s">
        <v>5</v>
      </c>
      <c r="G8" s="59" t="s">
        <v>6</v>
      </c>
      <c r="H8" s="59" t="s">
        <v>7</v>
      </c>
      <c r="I8" s="59" t="s">
        <v>9</v>
      </c>
      <c r="J8" s="59" t="s">
        <v>2</v>
      </c>
      <c r="K8" s="59" t="s">
        <v>101</v>
      </c>
      <c r="L8" s="59" t="s">
        <v>10</v>
      </c>
      <c r="M8" s="1"/>
      <c r="N8" s="1"/>
    </row>
    <row r="9" spans="1:14" ht="21.75">
      <c r="A9" s="24" t="s">
        <v>24</v>
      </c>
      <c r="B9" s="25"/>
      <c r="C9" s="99" t="s">
        <v>16</v>
      </c>
      <c r="D9" s="99" t="s">
        <v>22</v>
      </c>
      <c r="E9" s="100">
        <v>1400</v>
      </c>
      <c r="F9" s="101">
        <v>15</v>
      </c>
      <c r="G9" s="102">
        <f aca="true" t="shared" si="0" ref="G9:G41">vol*price*0.002</f>
        <v>42</v>
      </c>
      <c r="H9" s="101">
        <f aca="true" t="shared" si="1" ref="H9:H41">com*0.07</f>
        <v>2.9400000000000004</v>
      </c>
      <c r="I9" s="102">
        <f aca="true" t="shared" si="2" ref="I9:I41">IF(type="b",((vol*price)+com+vat)*(-1),IF(type="s",(vol*price)-com-vat,))</f>
        <v>20955.06</v>
      </c>
      <c r="J9" s="26">
        <f>SUM(I9:I10)</f>
        <v>-3497.155999999999</v>
      </c>
      <c r="K9" s="27">
        <f>I9+34931.09</f>
        <v>55886.149999999994</v>
      </c>
      <c r="L9" s="158">
        <f>J3+I9</f>
        <v>-89.87999999999738</v>
      </c>
      <c r="M9" s="1"/>
      <c r="N9" s="1"/>
    </row>
    <row r="10" spans="1:14" ht="22.5" thickBot="1">
      <c r="A10" s="28"/>
      <c r="B10" s="29"/>
      <c r="C10" s="30" t="s">
        <v>23</v>
      </c>
      <c r="D10" s="30" t="s">
        <v>17</v>
      </c>
      <c r="E10" s="31">
        <v>4000</v>
      </c>
      <c r="F10" s="32">
        <v>6.1</v>
      </c>
      <c r="G10" s="33">
        <f t="shared" si="0"/>
        <v>48.800000000000004</v>
      </c>
      <c r="H10" s="32">
        <f t="shared" si="1"/>
        <v>3.416000000000001</v>
      </c>
      <c r="I10" s="33">
        <f t="shared" si="2"/>
        <v>-24452.216</v>
      </c>
      <c r="J10" s="34"/>
      <c r="K10" s="35">
        <f aca="true" t="shared" si="3" ref="K10:K42">K9+I10</f>
        <v>31433.933999999994</v>
      </c>
      <c r="L10" s="36"/>
      <c r="M10" s="1"/>
      <c r="N10" s="1"/>
    </row>
    <row r="11" spans="1:14" ht="22.5" thickBot="1">
      <c r="A11" s="37" t="s">
        <v>25</v>
      </c>
      <c r="B11" s="38"/>
      <c r="C11" s="39" t="s">
        <v>26</v>
      </c>
      <c r="D11" s="39" t="s">
        <v>17</v>
      </c>
      <c r="E11" s="40">
        <v>30000</v>
      </c>
      <c r="F11" s="41">
        <v>0.65</v>
      </c>
      <c r="G11" s="42">
        <f t="shared" si="0"/>
        <v>39</v>
      </c>
      <c r="H11" s="41">
        <f t="shared" si="1"/>
        <v>2.7300000000000004</v>
      </c>
      <c r="I11" s="42">
        <f t="shared" si="2"/>
        <v>-19541.73</v>
      </c>
      <c r="J11" s="43">
        <f>I11</f>
        <v>-19541.73</v>
      </c>
      <c r="K11" s="44">
        <f t="shared" si="3"/>
        <v>11892.203999999994</v>
      </c>
      <c r="L11" s="45"/>
      <c r="M11" s="1"/>
      <c r="N11" s="1"/>
    </row>
    <row r="12" spans="1:14" ht="21.75">
      <c r="A12" s="24" t="s">
        <v>27</v>
      </c>
      <c r="B12" s="25"/>
      <c r="C12" s="46" t="s">
        <v>26</v>
      </c>
      <c r="D12" s="46" t="s">
        <v>22</v>
      </c>
      <c r="E12" s="47">
        <v>30000</v>
      </c>
      <c r="F12" s="48">
        <v>0.71</v>
      </c>
      <c r="G12" s="49">
        <f t="shared" si="0"/>
        <v>42.6</v>
      </c>
      <c r="H12" s="48">
        <f t="shared" si="1"/>
        <v>2.982</v>
      </c>
      <c r="I12" s="49">
        <f t="shared" si="2"/>
        <v>21254.418</v>
      </c>
      <c r="J12" s="26">
        <f>SUM(I12:I16)</f>
        <v>21238.461000000007</v>
      </c>
      <c r="K12" s="27">
        <f t="shared" si="3"/>
        <v>33146.621999999996</v>
      </c>
      <c r="L12" s="50">
        <f>I11+I12</f>
        <v>1712.688000000002</v>
      </c>
      <c r="M12" s="1"/>
      <c r="N12" s="1"/>
    </row>
    <row r="13" spans="1:14" ht="21.75">
      <c r="A13" s="6"/>
      <c r="B13" s="18"/>
      <c r="C13" s="20" t="s">
        <v>23</v>
      </c>
      <c r="D13" s="20" t="s">
        <v>22</v>
      </c>
      <c r="E13" s="22">
        <v>1500</v>
      </c>
      <c r="F13" s="21">
        <v>6.4</v>
      </c>
      <c r="G13" s="23">
        <f t="shared" si="0"/>
        <v>19.2</v>
      </c>
      <c r="H13" s="21">
        <f t="shared" si="1"/>
        <v>1.344</v>
      </c>
      <c r="I13" s="23">
        <f t="shared" si="2"/>
        <v>9579.456</v>
      </c>
      <c r="J13" s="7"/>
      <c r="K13" s="19">
        <f t="shared" si="3"/>
        <v>42726.077999999994</v>
      </c>
      <c r="L13" s="51"/>
      <c r="M13" s="1"/>
      <c r="N13" s="1"/>
    </row>
    <row r="14" spans="1:14" ht="21.75">
      <c r="A14" s="6"/>
      <c r="B14" s="18"/>
      <c r="C14" s="20" t="s">
        <v>23</v>
      </c>
      <c r="D14" s="20" t="s">
        <v>17</v>
      </c>
      <c r="E14" s="22">
        <v>1500</v>
      </c>
      <c r="F14" s="21">
        <v>6.3</v>
      </c>
      <c r="G14" s="23">
        <f t="shared" si="0"/>
        <v>18.900000000000002</v>
      </c>
      <c r="H14" s="21">
        <f t="shared" si="1"/>
        <v>1.3230000000000002</v>
      </c>
      <c r="I14" s="23">
        <f t="shared" si="2"/>
        <v>-9470.223</v>
      </c>
      <c r="J14" s="7"/>
      <c r="K14" s="19">
        <f>K13+I14</f>
        <v>33255.854999999996</v>
      </c>
      <c r="L14" s="51"/>
      <c r="M14" s="1"/>
      <c r="N14" s="1"/>
    </row>
    <row r="15" spans="1:14" ht="21.75">
      <c r="A15" s="62"/>
      <c r="B15" s="6"/>
      <c r="C15" s="63" t="s">
        <v>21</v>
      </c>
      <c r="D15" s="64" t="s">
        <v>22</v>
      </c>
      <c r="E15" s="66">
        <v>500</v>
      </c>
      <c r="F15" s="65">
        <v>52</v>
      </c>
      <c r="G15" s="67">
        <f>vol*price*0.002</f>
        <v>52</v>
      </c>
      <c r="H15" s="65">
        <f t="shared" si="1"/>
        <v>3.6400000000000006</v>
      </c>
      <c r="I15" s="65">
        <f t="shared" si="2"/>
        <v>25944.36</v>
      </c>
      <c r="J15" s="7"/>
      <c r="K15" s="68">
        <f t="shared" si="3"/>
        <v>59200.215</v>
      </c>
      <c r="L15" s="51"/>
      <c r="M15" s="1"/>
      <c r="N15" s="1"/>
    </row>
    <row r="16" spans="1:14" ht="22.5" thickBot="1">
      <c r="A16" s="28"/>
      <c r="B16" s="29"/>
      <c r="C16" s="86" t="s">
        <v>21</v>
      </c>
      <c r="D16" s="76" t="s">
        <v>17</v>
      </c>
      <c r="E16" s="87">
        <v>500</v>
      </c>
      <c r="F16" s="88">
        <v>52</v>
      </c>
      <c r="G16" s="89">
        <f>vol*price*0.0025</f>
        <v>65</v>
      </c>
      <c r="H16" s="88">
        <f>com*0.07</f>
        <v>4.550000000000001</v>
      </c>
      <c r="I16" s="90">
        <f t="shared" si="2"/>
        <v>-26069.55</v>
      </c>
      <c r="J16" s="34"/>
      <c r="K16" s="283">
        <f>K15</f>
        <v>59200.215</v>
      </c>
      <c r="L16" s="36"/>
      <c r="M16" s="257" t="s">
        <v>72</v>
      </c>
      <c r="N16" s="1"/>
    </row>
    <row r="17" spans="1:14" ht="21.75">
      <c r="A17" s="236" t="s">
        <v>32</v>
      </c>
      <c r="B17" s="25"/>
      <c r="C17" s="71" t="s">
        <v>23</v>
      </c>
      <c r="D17" s="71" t="s">
        <v>22</v>
      </c>
      <c r="E17" s="72">
        <v>3000</v>
      </c>
      <c r="F17" s="73">
        <v>6.05</v>
      </c>
      <c r="G17" s="74">
        <f t="shared" si="0"/>
        <v>36.300000000000004</v>
      </c>
      <c r="H17" s="73">
        <f t="shared" si="1"/>
        <v>2.5410000000000004</v>
      </c>
      <c r="I17" s="74">
        <f t="shared" si="2"/>
        <v>18111.159</v>
      </c>
      <c r="J17" s="26">
        <f>SUM(I17:I24)</f>
        <v>9129.542</v>
      </c>
      <c r="K17" s="27">
        <f>K16+I17</f>
        <v>77311.374</v>
      </c>
      <c r="L17" s="75"/>
      <c r="M17" s="1"/>
      <c r="N17" s="1"/>
    </row>
    <row r="18" spans="1:14" ht="21.75">
      <c r="A18" s="237"/>
      <c r="B18" s="18"/>
      <c r="C18" s="20" t="s">
        <v>23</v>
      </c>
      <c r="D18" s="20" t="s">
        <v>22</v>
      </c>
      <c r="E18" s="22">
        <v>1000</v>
      </c>
      <c r="F18" s="21">
        <v>6.5</v>
      </c>
      <c r="G18" s="23">
        <f>vol*price*0.002</f>
        <v>13</v>
      </c>
      <c r="H18" s="21">
        <f t="shared" si="1"/>
        <v>0.9100000000000001</v>
      </c>
      <c r="I18" s="23">
        <f t="shared" si="2"/>
        <v>6486.09</v>
      </c>
      <c r="J18" s="7"/>
      <c r="K18" s="19">
        <f t="shared" si="3"/>
        <v>83797.46399999999</v>
      </c>
      <c r="L18" s="77">
        <f>I10+I13+I14+I17+I18</f>
        <v>254.26599999999962</v>
      </c>
      <c r="M18" s="1"/>
      <c r="N18" s="1"/>
    </row>
    <row r="19" spans="1:12" ht="21.75">
      <c r="A19" s="237"/>
      <c r="B19" s="18"/>
      <c r="C19" s="60" t="s">
        <v>28</v>
      </c>
      <c r="D19" s="60" t="s">
        <v>17</v>
      </c>
      <c r="E19" s="78">
        <v>1000</v>
      </c>
      <c r="F19" s="61">
        <v>10.2</v>
      </c>
      <c r="G19" s="79">
        <f t="shared" si="0"/>
        <v>20.400000000000002</v>
      </c>
      <c r="H19" s="61">
        <f t="shared" si="1"/>
        <v>1.4280000000000004</v>
      </c>
      <c r="I19" s="79">
        <f t="shared" si="2"/>
        <v>-10221.828</v>
      </c>
      <c r="J19" s="7"/>
      <c r="K19" s="19">
        <f>K18+I19</f>
        <v>73575.636</v>
      </c>
      <c r="L19" s="51"/>
    </row>
    <row r="20" spans="1:12" ht="21.75">
      <c r="A20" s="237"/>
      <c r="B20" s="18"/>
      <c r="C20" s="60" t="s">
        <v>28</v>
      </c>
      <c r="D20" s="60" t="s">
        <v>17</v>
      </c>
      <c r="E20" s="78">
        <v>1000</v>
      </c>
      <c r="F20" s="61">
        <v>10.1</v>
      </c>
      <c r="G20" s="79">
        <f>vol*price*0.002</f>
        <v>20.2</v>
      </c>
      <c r="H20" s="61">
        <f t="shared" si="1"/>
        <v>1.4140000000000001</v>
      </c>
      <c r="I20" s="79">
        <f t="shared" si="2"/>
        <v>-10121.614000000001</v>
      </c>
      <c r="J20" s="95"/>
      <c r="K20" s="19">
        <f>K19+I20</f>
        <v>63454.022</v>
      </c>
      <c r="L20" s="51"/>
    </row>
    <row r="21" spans="1:12" ht="21.75">
      <c r="A21" s="237"/>
      <c r="B21" s="18"/>
      <c r="C21" s="69" t="s">
        <v>23</v>
      </c>
      <c r="D21" s="69" t="s">
        <v>17</v>
      </c>
      <c r="E21" s="279">
        <v>1000</v>
      </c>
      <c r="F21" s="280">
        <v>6.35</v>
      </c>
      <c r="G21" s="82">
        <f>vol*price*0.002</f>
        <v>12.700000000000001</v>
      </c>
      <c r="H21" s="70">
        <f t="shared" si="1"/>
        <v>0.8890000000000001</v>
      </c>
      <c r="I21" s="82">
        <f t="shared" si="2"/>
        <v>-6363.589</v>
      </c>
      <c r="J21" s="7"/>
      <c r="K21" s="19">
        <f>K20+I21</f>
        <v>57090.433</v>
      </c>
      <c r="L21" s="51"/>
    </row>
    <row r="22" spans="1:12" ht="21.75">
      <c r="A22" s="237"/>
      <c r="B22" s="18"/>
      <c r="C22" s="103" t="s">
        <v>26</v>
      </c>
      <c r="D22" s="103" t="s">
        <v>17</v>
      </c>
      <c r="E22" s="277">
        <v>20000</v>
      </c>
      <c r="F22" s="278">
        <v>0.67</v>
      </c>
      <c r="G22" s="112">
        <f>vol*price*0.002</f>
        <v>26.8</v>
      </c>
      <c r="H22" s="104">
        <f t="shared" si="1"/>
        <v>1.8760000000000003</v>
      </c>
      <c r="I22" s="112">
        <f t="shared" si="2"/>
        <v>-13428.676</v>
      </c>
      <c r="J22" s="7"/>
      <c r="K22" s="19">
        <f>K21+I22</f>
        <v>43661.757</v>
      </c>
      <c r="L22" s="282"/>
    </row>
    <row r="23" spans="1:13" ht="21.75">
      <c r="A23" s="237"/>
      <c r="B23" s="18"/>
      <c r="C23" s="83" t="s">
        <v>21</v>
      </c>
      <c r="D23" s="83" t="s">
        <v>22</v>
      </c>
      <c r="E23" s="276">
        <v>100</v>
      </c>
      <c r="F23" s="84">
        <v>49.75</v>
      </c>
      <c r="G23" s="84">
        <v>50</v>
      </c>
      <c r="H23" s="84">
        <f>com*0.07</f>
        <v>3.5000000000000004</v>
      </c>
      <c r="I23" s="85">
        <f>IF(type="b",((vol*price)+com+vat)*(-1),IF(type="s",(vol*price)-com-vat,))</f>
        <v>4921.5</v>
      </c>
      <c r="J23" s="7"/>
      <c r="K23" s="284">
        <f>K22</f>
        <v>43661.757</v>
      </c>
      <c r="L23" s="51"/>
      <c r="M23" s="257" t="s">
        <v>72</v>
      </c>
    </row>
    <row r="24" spans="1:14" ht="22.5" thickBot="1">
      <c r="A24" s="238"/>
      <c r="B24" s="29"/>
      <c r="C24" s="86" t="s">
        <v>21</v>
      </c>
      <c r="D24" s="86" t="s">
        <v>22</v>
      </c>
      <c r="E24" s="87">
        <v>400</v>
      </c>
      <c r="F24" s="88">
        <v>49.5</v>
      </c>
      <c r="G24" s="89">
        <f>50</f>
        <v>50</v>
      </c>
      <c r="H24" s="88">
        <f>com*0.07</f>
        <v>3.5000000000000004</v>
      </c>
      <c r="I24" s="89">
        <f>IF(type="b",((vol*price)+com+vat)*(-1),IF(type="s",(vol*price)-com-vat,))</f>
        <v>19746.5</v>
      </c>
      <c r="J24" s="34"/>
      <c r="K24" s="284">
        <f>K22</f>
        <v>43661.757</v>
      </c>
      <c r="L24" s="281">
        <f>J5+I15+I16+I23+I24</f>
        <v>1744.1200000000026</v>
      </c>
      <c r="M24" s="257" t="s">
        <v>72</v>
      </c>
      <c r="N24" s="1"/>
    </row>
    <row r="25" spans="1:14" ht="21.75">
      <c r="A25" s="24" t="s">
        <v>33</v>
      </c>
      <c r="B25" s="25"/>
      <c r="C25" s="105" t="s">
        <v>28</v>
      </c>
      <c r="D25" s="105" t="s">
        <v>22</v>
      </c>
      <c r="E25" s="106">
        <v>1000</v>
      </c>
      <c r="F25" s="107">
        <v>10.2</v>
      </c>
      <c r="G25" s="108">
        <f t="shared" si="0"/>
        <v>20.400000000000002</v>
      </c>
      <c r="H25" s="107">
        <f t="shared" si="1"/>
        <v>1.4280000000000004</v>
      </c>
      <c r="I25" s="108">
        <f t="shared" si="2"/>
        <v>10178.172</v>
      </c>
      <c r="J25" s="26">
        <f>SUM(I25:I31)</f>
        <v>-23772.301000000003</v>
      </c>
      <c r="K25" s="27">
        <f t="shared" si="3"/>
        <v>53839.929</v>
      </c>
      <c r="L25" s="109"/>
      <c r="M25" s="1"/>
      <c r="N25" s="1"/>
    </row>
    <row r="26" spans="1:14" ht="21.75">
      <c r="A26" s="6"/>
      <c r="B26" s="18"/>
      <c r="C26" s="69" t="s">
        <v>23</v>
      </c>
      <c r="D26" s="69" t="s">
        <v>22</v>
      </c>
      <c r="E26" s="81">
        <v>1000</v>
      </c>
      <c r="F26" s="70">
        <v>6.55</v>
      </c>
      <c r="G26" s="82">
        <f t="shared" si="0"/>
        <v>13.1</v>
      </c>
      <c r="H26" s="70">
        <f t="shared" si="1"/>
        <v>0.917</v>
      </c>
      <c r="I26" s="82">
        <f t="shared" si="2"/>
        <v>6535.982999999999</v>
      </c>
      <c r="J26" s="7"/>
      <c r="K26" s="19">
        <f t="shared" si="3"/>
        <v>60375.912</v>
      </c>
      <c r="L26" s="110">
        <f>I21+I26</f>
        <v>172.39399999999932</v>
      </c>
      <c r="M26" s="1"/>
      <c r="N26" s="1"/>
    </row>
    <row r="27" spans="1:14" ht="21.75">
      <c r="A27" s="6"/>
      <c r="B27" s="18"/>
      <c r="C27" s="103" t="s">
        <v>26</v>
      </c>
      <c r="D27" s="103" t="s">
        <v>17</v>
      </c>
      <c r="E27" s="111">
        <v>10000</v>
      </c>
      <c r="F27" s="104">
        <v>0.68</v>
      </c>
      <c r="G27" s="112">
        <f t="shared" si="0"/>
        <v>13.600000000000001</v>
      </c>
      <c r="H27" s="104">
        <f t="shared" si="1"/>
        <v>0.9520000000000002</v>
      </c>
      <c r="I27" s="112">
        <f t="shared" si="2"/>
        <v>-6814.5520000000015</v>
      </c>
      <c r="J27" s="7"/>
      <c r="K27" s="19">
        <f t="shared" si="3"/>
        <v>53561.35999999999</v>
      </c>
      <c r="L27" s="51"/>
      <c r="M27" s="1"/>
      <c r="N27" s="1"/>
    </row>
    <row r="28" spans="1:14" ht="21.75">
      <c r="A28" s="6"/>
      <c r="B28" s="18"/>
      <c r="C28" s="103" t="s">
        <v>26</v>
      </c>
      <c r="D28" s="103" t="s">
        <v>17</v>
      </c>
      <c r="E28" s="111">
        <v>10000</v>
      </c>
      <c r="F28" s="104">
        <v>0.66</v>
      </c>
      <c r="G28" s="112">
        <f t="shared" si="0"/>
        <v>13.200000000000001</v>
      </c>
      <c r="H28" s="104">
        <f t="shared" si="1"/>
        <v>0.9240000000000002</v>
      </c>
      <c r="I28" s="112">
        <f t="shared" si="2"/>
        <v>-6614.124</v>
      </c>
      <c r="J28" s="7"/>
      <c r="K28" s="19">
        <f t="shared" si="3"/>
        <v>46947.23599999999</v>
      </c>
      <c r="L28" s="51"/>
      <c r="M28" s="1"/>
      <c r="N28" s="1"/>
    </row>
    <row r="29" spans="1:14" ht="21.75">
      <c r="A29" s="6"/>
      <c r="B29" s="18"/>
      <c r="C29" s="103" t="s">
        <v>26</v>
      </c>
      <c r="D29" s="103" t="s">
        <v>17</v>
      </c>
      <c r="E29" s="111">
        <v>10000</v>
      </c>
      <c r="F29" s="104">
        <v>0.64</v>
      </c>
      <c r="G29" s="112">
        <f t="shared" si="0"/>
        <v>12.8</v>
      </c>
      <c r="H29" s="104">
        <f t="shared" si="1"/>
        <v>0.8960000000000001</v>
      </c>
      <c r="I29" s="112">
        <f t="shared" si="2"/>
        <v>-6413.696</v>
      </c>
      <c r="J29" s="7"/>
      <c r="K29" s="19">
        <f t="shared" si="3"/>
        <v>40533.53999999999</v>
      </c>
      <c r="L29" s="51"/>
      <c r="M29" s="1"/>
      <c r="N29" s="1"/>
    </row>
    <row r="30" spans="1:14" ht="21.75">
      <c r="A30" s="6"/>
      <c r="B30" s="18"/>
      <c r="C30" s="103" t="s">
        <v>26</v>
      </c>
      <c r="D30" s="103" t="s">
        <v>17</v>
      </c>
      <c r="E30" s="111">
        <v>10000</v>
      </c>
      <c r="F30" s="104">
        <v>0.63</v>
      </c>
      <c r="G30" s="112">
        <f t="shared" si="0"/>
        <v>12.6</v>
      </c>
      <c r="H30" s="104">
        <f t="shared" si="1"/>
        <v>0.882</v>
      </c>
      <c r="I30" s="112">
        <f t="shared" si="2"/>
        <v>-6313.482</v>
      </c>
      <c r="J30" s="7"/>
      <c r="K30" s="19">
        <f t="shared" si="3"/>
        <v>34220.05799999999</v>
      </c>
      <c r="L30" s="51"/>
      <c r="M30" s="1"/>
      <c r="N30" s="1"/>
    </row>
    <row r="31" spans="1:14" ht="22.5" thickBot="1">
      <c r="A31" s="28"/>
      <c r="B31" s="29"/>
      <c r="C31" s="113" t="s">
        <v>29</v>
      </c>
      <c r="D31" s="113" t="s">
        <v>17</v>
      </c>
      <c r="E31" s="114">
        <v>1100</v>
      </c>
      <c r="F31" s="115">
        <v>13</v>
      </c>
      <c r="G31" s="116">
        <f t="shared" si="0"/>
        <v>28.6</v>
      </c>
      <c r="H31" s="115">
        <f t="shared" si="1"/>
        <v>2.0020000000000002</v>
      </c>
      <c r="I31" s="116">
        <f t="shared" si="2"/>
        <v>-14330.602</v>
      </c>
      <c r="J31" s="34"/>
      <c r="K31" s="35">
        <f t="shared" si="3"/>
        <v>19889.45599999999</v>
      </c>
      <c r="L31" s="36"/>
      <c r="M31" s="1"/>
      <c r="N31" s="1"/>
    </row>
    <row r="32" spans="1:14" ht="21.75">
      <c r="A32" s="24" t="s">
        <v>34</v>
      </c>
      <c r="B32" s="25"/>
      <c r="C32" s="117" t="s">
        <v>26</v>
      </c>
      <c r="D32" s="117" t="s">
        <v>22</v>
      </c>
      <c r="E32" s="118">
        <v>40000</v>
      </c>
      <c r="F32" s="119">
        <v>0.58</v>
      </c>
      <c r="G32" s="120">
        <f t="shared" si="0"/>
        <v>46.4</v>
      </c>
      <c r="H32" s="119">
        <f t="shared" si="1"/>
        <v>3.248</v>
      </c>
      <c r="I32" s="120">
        <f t="shared" si="2"/>
        <v>23150.352</v>
      </c>
      <c r="J32" s="26">
        <f>SUM(I32:I34)</f>
        <v>20232.589999999997</v>
      </c>
      <c r="K32" s="27">
        <f t="shared" si="3"/>
        <v>43039.80799999999</v>
      </c>
      <c r="L32" s="109"/>
      <c r="M32" s="1"/>
      <c r="N32" s="1"/>
    </row>
    <row r="33" spans="1:14" ht="21.75">
      <c r="A33" s="6"/>
      <c r="B33" s="18"/>
      <c r="C33" s="103" t="s">
        <v>26</v>
      </c>
      <c r="D33" s="103" t="s">
        <v>17</v>
      </c>
      <c r="E33" s="111">
        <v>10000</v>
      </c>
      <c r="F33" s="104">
        <v>0.56</v>
      </c>
      <c r="G33" s="112">
        <f t="shared" si="0"/>
        <v>11.200000000000003</v>
      </c>
      <c r="H33" s="104">
        <f t="shared" si="1"/>
        <v>0.7840000000000003</v>
      </c>
      <c r="I33" s="112">
        <f t="shared" si="2"/>
        <v>-5611.984</v>
      </c>
      <c r="J33" s="7"/>
      <c r="K33" s="19">
        <f t="shared" si="3"/>
        <v>37427.82399999999</v>
      </c>
      <c r="L33" s="51"/>
      <c r="M33" s="1"/>
      <c r="N33" s="1"/>
    </row>
    <row r="34" spans="1:14" ht="22.5" thickBot="1">
      <c r="A34" s="28"/>
      <c r="B34" s="29"/>
      <c r="C34" s="121" t="s">
        <v>19</v>
      </c>
      <c r="D34" s="121" t="s">
        <v>22</v>
      </c>
      <c r="E34" s="122">
        <v>100</v>
      </c>
      <c r="F34" s="123">
        <v>27</v>
      </c>
      <c r="G34" s="124">
        <f t="shared" si="0"/>
        <v>5.4</v>
      </c>
      <c r="H34" s="123">
        <f t="shared" si="1"/>
        <v>0.37800000000000006</v>
      </c>
      <c r="I34" s="124">
        <f t="shared" si="2"/>
        <v>2694.2219999999998</v>
      </c>
      <c r="J34" s="34"/>
      <c r="K34" s="35">
        <f t="shared" si="3"/>
        <v>40122.045999999995</v>
      </c>
      <c r="L34" s="36"/>
      <c r="M34" s="1"/>
      <c r="N34" s="1"/>
    </row>
    <row r="35" spans="1:14" ht="21.75">
      <c r="A35" s="24" t="s">
        <v>35</v>
      </c>
      <c r="B35" s="25"/>
      <c r="C35" s="117" t="s">
        <v>26</v>
      </c>
      <c r="D35" s="117" t="s">
        <v>17</v>
      </c>
      <c r="E35" s="118">
        <v>30000</v>
      </c>
      <c r="F35" s="119">
        <v>0.59</v>
      </c>
      <c r="G35" s="120">
        <f t="shared" si="0"/>
        <v>35.4</v>
      </c>
      <c r="H35" s="119">
        <f t="shared" si="1"/>
        <v>2.478</v>
      </c>
      <c r="I35" s="120">
        <f t="shared" si="2"/>
        <v>-17737.878</v>
      </c>
      <c r="J35" s="26">
        <f>SUM(I35:I41)</f>
        <v>-19531.976000000002</v>
      </c>
      <c r="K35" s="27">
        <f t="shared" si="3"/>
        <v>22384.167999999994</v>
      </c>
      <c r="L35" s="109"/>
      <c r="M35" s="1"/>
      <c r="N35" s="1"/>
    </row>
    <row r="36" spans="1:14" ht="21.75">
      <c r="A36" s="6"/>
      <c r="B36" s="18"/>
      <c r="C36" s="125" t="s">
        <v>30</v>
      </c>
      <c r="D36" s="125" t="s">
        <v>17</v>
      </c>
      <c r="E36" s="131">
        <v>30000</v>
      </c>
      <c r="F36" s="126">
        <v>0.62</v>
      </c>
      <c r="G36" s="132">
        <f t="shared" si="0"/>
        <v>37.2</v>
      </c>
      <c r="H36" s="126">
        <f t="shared" si="1"/>
        <v>2.6040000000000005</v>
      </c>
      <c r="I36" s="132">
        <f t="shared" si="2"/>
        <v>-18639.804</v>
      </c>
      <c r="J36" s="7"/>
      <c r="K36" s="19">
        <f t="shared" si="3"/>
        <v>3744.363999999994</v>
      </c>
      <c r="L36" s="51"/>
      <c r="M36" s="1"/>
      <c r="N36" s="1"/>
    </row>
    <row r="37" spans="1:14" ht="21.75">
      <c r="A37" s="6"/>
      <c r="B37" s="18"/>
      <c r="C37" s="125" t="s">
        <v>30</v>
      </c>
      <c r="D37" s="125" t="s">
        <v>22</v>
      </c>
      <c r="E37" s="131">
        <v>30000</v>
      </c>
      <c r="F37" s="126">
        <v>0.62</v>
      </c>
      <c r="G37" s="132">
        <f t="shared" si="0"/>
        <v>37.2</v>
      </c>
      <c r="H37" s="126">
        <f t="shared" si="1"/>
        <v>2.6040000000000005</v>
      </c>
      <c r="I37" s="132">
        <f t="shared" si="2"/>
        <v>18560.196</v>
      </c>
      <c r="J37" s="7"/>
      <c r="K37" s="19">
        <f t="shared" si="3"/>
        <v>22304.559999999994</v>
      </c>
      <c r="L37" s="159">
        <f>I36+I37</f>
        <v>-79.60800000000017</v>
      </c>
      <c r="M37" s="1"/>
      <c r="N37" s="1"/>
    </row>
    <row r="38" spans="1:14" ht="21.75">
      <c r="A38" s="6"/>
      <c r="B38" s="18"/>
      <c r="C38" s="127" t="s">
        <v>19</v>
      </c>
      <c r="D38" s="127" t="s">
        <v>22</v>
      </c>
      <c r="E38" s="133">
        <v>300</v>
      </c>
      <c r="F38" s="128">
        <v>27.5</v>
      </c>
      <c r="G38" s="134">
        <f t="shared" si="0"/>
        <v>16.5</v>
      </c>
      <c r="H38" s="128">
        <f t="shared" si="1"/>
        <v>1.155</v>
      </c>
      <c r="I38" s="134">
        <f t="shared" si="2"/>
        <v>8232.345</v>
      </c>
      <c r="J38" s="7"/>
      <c r="K38" s="19">
        <f t="shared" si="3"/>
        <v>30536.90499999999</v>
      </c>
      <c r="L38" s="135">
        <f>J4+I34+I38</f>
        <v>303.8869999999988</v>
      </c>
      <c r="M38" s="1"/>
      <c r="N38" s="1"/>
    </row>
    <row r="39" spans="1:14" ht="21.75">
      <c r="A39" s="6"/>
      <c r="B39" s="18"/>
      <c r="C39" s="103" t="s">
        <v>26</v>
      </c>
      <c r="D39" s="103" t="s">
        <v>22</v>
      </c>
      <c r="E39" s="111">
        <v>30000</v>
      </c>
      <c r="F39" s="104">
        <v>0.59</v>
      </c>
      <c r="G39" s="112">
        <f t="shared" si="0"/>
        <v>35.4</v>
      </c>
      <c r="H39" s="104">
        <f t="shared" si="1"/>
        <v>2.478</v>
      </c>
      <c r="I39" s="112">
        <f t="shared" si="2"/>
        <v>17662.122</v>
      </c>
      <c r="J39" s="7"/>
      <c r="K39" s="19">
        <f t="shared" si="3"/>
        <v>48199.02699999999</v>
      </c>
      <c r="L39" s="51"/>
      <c r="M39" s="1"/>
      <c r="N39" s="1"/>
    </row>
    <row r="40" spans="1:14" ht="21.75">
      <c r="A40" s="6"/>
      <c r="B40" s="18"/>
      <c r="C40" s="170" t="s">
        <v>19</v>
      </c>
      <c r="D40" s="170" t="s">
        <v>17</v>
      </c>
      <c r="E40" s="171">
        <v>600</v>
      </c>
      <c r="F40" s="172">
        <v>26.75</v>
      </c>
      <c r="G40" s="173">
        <f t="shared" si="0"/>
        <v>32.1</v>
      </c>
      <c r="H40" s="172">
        <f t="shared" si="1"/>
        <v>2.2470000000000003</v>
      </c>
      <c r="I40" s="173">
        <f t="shared" si="2"/>
        <v>-16084.347</v>
      </c>
      <c r="J40" s="7"/>
      <c r="K40" s="19">
        <f t="shared" si="3"/>
        <v>32114.679999999986</v>
      </c>
      <c r="L40" s="51"/>
      <c r="M40" s="1"/>
      <c r="N40" s="1"/>
    </row>
    <row r="41" spans="1:14" ht="22.5" thickBot="1">
      <c r="A41" s="28"/>
      <c r="B41" s="29"/>
      <c r="C41" s="138" t="s">
        <v>31</v>
      </c>
      <c r="D41" s="138" t="s">
        <v>17</v>
      </c>
      <c r="E41" s="139">
        <v>100</v>
      </c>
      <c r="F41" s="140">
        <v>115</v>
      </c>
      <c r="G41" s="141">
        <f t="shared" si="0"/>
        <v>23</v>
      </c>
      <c r="H41" s="140">
        <f t="shared" si="1"/>
        <v>1.61</v>
      </c>
      <c r="I41" s="141">
        <f t="shared" si="2"/>
        <v>-11524.61</v>
      </c>
      <c r="J41" s="34"/>
      <c r="K41" s="35">
        <f t="shared" si="3"/>
        <v>20590.069999999985</v>
      </c>
      <c r="L41" s="36"/>
      <c r="M41" s="1"/>
      <c r="N41" s="1"/>
    </row>
    <row r="42" spans="1:14" ht="21.75">
      <c r="A42" s="24" t="s">
        <v>36</v>
      </c>
      <c r="B42" s="25"/>
      <c r="C42" s="105" t="s">
        <v>28</v>
      </c>
      <c r="D42" s="105" t="s">
        <v>22</v>
      </c>
      <c r="E42" s="106">
        <v>1000</v>
      </c>
      <c r="F42" s="107">
        <v>10.5</v>
      </c>
      <c r="G42" s="108">
        <f aca="true" t="shared" si="4" ref="G42:G75">vol*price*0.002</f>
        <v>21</v>
      </c>
      <c r="H42" s="107">
        <f aca="true" t="shared" si="5" ref="H42:H63">com*0.07</f>
        <v>1.4700000000000002</v>
      </c>
      <c r="I42" s="108">
        <f aca="true" t="shared" si="6" ref="I42:I75">IF(type="b",((vol*price)+com+vat)*(-1),IF(type="s",(vol*price)-com-vat,))</f>
        <v>10477.53</v>
      </c>
      <c r="J42" s="26">
        <f>SUM(I42:I44)</f>
        <v>-19306.070799999994</v>
      </c>
      <c r="K42" s="27">
        <f t="shared" si="3"/>
        <v>31067.599999999984</v>
      </c>
      <c r="L42" s="142">
        <f>I19+I20+I25+I42</f>
        <v>312.2599999999984</v>
      </c>
      <c r="M42" s="1"/>
      <c r="N42" s="1"/>
    </row>
    <row r="43" spans="1:14" ht="21.75">
      <c r="A43" s="6"/>
      <c r="B43" s="18"/>
      <c r="C43" s="20" t="s">
        <v>37</v>
      </c>
      <c r="D43" s="20" t="s">
        <v>17</v>
      </c>
      <c r="E43" s="22">
        <v>1400</v>
      </c>
      <c r="F43" s="21">
        <v>9.9</v>
      </c>
      <c r="G43" s="23">
        <f t="shared" si="4"/>
        <v>27.72</v>
      </c>
      <c r="H43" s="21">
        <f t="shared" si="5"/>
        <v>1.9404000000000001</v>
      </c>
      <c r="I43" s="23">
        <f t="shared" si="6"/>
        <v>-13889.660399999999</v>
      </c>
      <c r="J43" s="7"/>
      <c r="K43" s="19">
        <f aca="true" t="shared" si="7" ref="K43:K76">K42+I43</f>
        <v>17177.939599999983</v>
      </c>
      <c r="L43" s="51"/>
      <c r="M43" s="1"/>
      <c r="N43" s="1"/>
    </row>
    <row r="44" spans="1:14" ht="22.5" thickBot="1">
      <c r="A44" s="28"/>
      <c r="B44" s="29"/>
      <c r="C44" s="143" t="s">
        <v>38</v>
      </c>
      <c r="D44" s="143" t="s">
        <v>17</v>
      </c>
      <c r="E44" s="144">
        <v>1300</v>
      </c>
      <c r="F44" s="145">
        <v>12.2</v>
      </c>
      <c r="G44" s="146">
        <f t="shared" si="4"/>
        <v>31.719999999999995</v>
      </c>
      <c r="H44" s="145">
        <f t="shared" si="5"/>
        <v>2.2203999999999997</v>
      </c>
      <c r="I44" s="146">
        <f t="shared" si="6"/>
        <v>-15893.940399999998</v>
      </c>
      <c r="J44" s="34"/>
      <c r="K44" s="285">
        <f>K43+I44+N44</f>
        <v>21283.999199999984</v>
      </c>
      <c r="L44" s="36"/>
      <c r="M44" s="267" t="s">
        <v>84</v>
      </c>
      <c r="N44" s="191">
        <v>20000</v>
      </c>
    </row>
    <row r="45" spans="1:14" ht="21.75">
      <c r="A45" s="24" t="s">
        <v>39</v>
      </c>
      <c r="B45" s="25"/>
      <c r="C45" s="147" t="s">
        <v>29</v>
      </c>
      <c r="D45" s="147" t="s">
        <v>22</v>
      </c>
      <c r="E45" s="148">
        <v>1100</v>
      </c>
      <c r="F45" s="149">
        <v>13.7</v>
      </c>
      <c r="G45" s="150">
        <f t="shared" si="4"/>
        <v>30.14</v>
      </c>
      <c r="H45" s="149">
        <f t="shared" si="5"/>
        <v>2.1098000000000003</v>
      </c>
      <c r="I45" s="150">
        <f t="shared" si="6"/>
        <v>15037.7502</v>
      </c>
      <c r="J45" s="26">
        <f>SUM(I45:I48)</f>
        <v>26946.5862</v>
      </c>
      <c r="K45" s="27">
        <f t="shared" si="7"/>
        <v>36321.749399999986</v>
      </c>
      <c r="L45" s="151">
        <f>I31+I45</f>
        <v>707.1481999999996</v>
      </c>
      <c r="M45" s="1"/>
      <c r="N45" s="1"/>
    </row>
    <row r="46" spans="1:14" ht="21.75">
      <c r="A46" s="6"/>
      <c r="B46" s="18"/>
      <c r="C46" s="69" t="s">
        <v>31</v>
      </c>
      <c r="D46" s="69" t="s">
        <v>22</v>
      </c>
      <c r="E46" s="81">
        <v>100</v>
      </c>
      <c r="F46" s="70">
        <v>117</v>
      </c>
      <c r="G46" s="82">
        <f t="shared" si="4"/>
        <v>23.400000000000002</v>
      </c>
      <c r="H46" s="70">
        <f t="shared" si="5"/>
        <v>1.6380000000000003</v>
      </c>
      <c r="I46" s="82">
        <f t="shared" si="6"/>
        <v>11674.962</v>
      </c>
      <c r="J46" s="7"/>
      <c r="K46" s="19">
        <f t="shared" si="7"/>
        <v>47996.711399999986</v>
      </c>
      <c r="L46" s="152">
        <f>I41+I46</f>
        <v>150.35199999999895</v>
      </c>
      <c r="M46" s="1"/>
      <c r="N46" s="1"/>
    </row>
    <row r="47" spans="1:14" ht="21.75">
      <c r="A47" s="6"/>
      <c r="B47" s="18"/>
      <c r="C47" s="60" t="s">
        <v>26</v>
      </c>
      <c r="D47" s="60" t="s">
        <v>17</v>
      </c>
      <c r="E47" s="78">
        <v>30000</v>
      </c>
      <c r="F47" s="61">
        <v>0.51</v>
      </c>
      <c r="G47" s="79">
        <f t="shared" si="4"/>
        <v>30.6</v>
      </c>
      <c r="H47" s="61">
        <f t="shared" si="5"/>
        <v>2.1420000000000003</v>
      </c>
      <c r="I47" s="79">
        <f t="shared" si="6"/>
        <v>-15332.742</v>
      </c>
      <c r="J47" s="7"/>
      <c r="K47" s="19">
        <f t="shared" si="7"/>
        <v>32663.969399999987</v>
      </c>
      <c r="L47" s="51"/>
      <c r="M47" s="1"/>
      <c r="N47" s="1"/>
    </row>
    <row r="48" spans="1:14" ht="22.5" thickBot="1">
      <c r="A48" s="28"/>
      <c r="B48" s="29"/>
      <c r="C48" s="153" t="s">
        <v>26</v>
      </c>
      <c r="D48" s="153" t="s">
        <v>22</v>
      </c>
      <c r="E48" s="154">
        <v>30000</v>
      </c>
      <c r="F48" s="155">
        <v>0.52</v>
      </c>
      <c r="G48" s="156">
        <f t="shared" si="4"/>
        <v>31.2</v>
      </c>
      <c r="H48" s="155">
        <f t="shared" si="5"/>
        <v>2.184</v>
      </c>
      <c r="I48" s="156">
        <f t="shared" si="6"/>
        <v>15566.616</v>
      </c>
      <c r="J48" s="34"/>
      <c r="K48" s="35">
        <f t="shared" si="7"/>
        <v>48230.58539999999</v>
      </c>
      <c r="L48" s="157">
        <f>I47+I48</f>
        <v>233.8739999999998</v>
      </c>
      <c r="M48" s="1"/>
      <c r="N48" s="1"/>
    </row>
    <row r="49" spans="1:14" ht="21.75">
      <c r="A49" s="24" t="s">
        <v>40</v>
      </c>
      <c r="B49" s="25"/>
      <c r="C49" s="117" t="s">
        <v>26</v>
      </c>
      <c r="D49" s="117" t="s">
        <v>22</v>
      </c>
      <c r="E49" s="118">
        <v>20000</v>
      </c>
      <c r="F49" s="119">
        <v>0.45</v>
      </c>
      <c r="G49" s="120">
        <f t="shared" si="4"/>
        <v>18</v>
      </c>
      <c r="H49" s="119">
        <f t="shared" si="5"/>
        <v>1.2600000000000002</v>
      </c>
      <c r="I49" s="120">
        <f t="shared" si="6"/>
        <v>8980.74</v>
      </c>
      <c r="J49" s="26">
        <f>SUM(I49:I54)</f>
        <v>-26872.1968</v>
      </c>
      <c r="K49" s="27">
        <f t="shared" si="7"/>
        <v>57211.32539999999</v>
      </c>
      <c r="L49" s="109"/>
      <c r="M49" s="1"/>
      <c r="N49" s="1"/>
    </row>
    <row r="50" spans="1:14" ht="21.75">
      <c r="A50" s="6"/>
      <c r="B50" s="18"/>
      <c r="C50" s="129" t="s">
        <v>41</v>
      </c>
      <c r="D50" s="129" t="s">
        <v>17</v>
      </c>
      <c r="E50" s="136">
        <v>1000</v>
      </c>
      <c r="F50" s="130">
        <v>15.9</v>
      </c>
      <c r="G50" s="137">
        <f t="shared" si="4"/>
        <v>31.8</v>
      </c>
      <c r="H50" s="130">
        <f t="shared" si="5"/>
        <v>2.2260000000000004</v>
      </c>
      <c r="I50" s="137">
        <f t="shared" si="6"/>
        <v>-15934.026</v>
      </c>
      <c r="J50" s="7"/>
      <c r="K50" s="19">
        <f t="shared" si="7"/>
        <v>41277.29939999999</v>
      </c>
      <c r="L50" s="51"/>
      <c r="M50" s="256"/>
      <c r="N50" s="1"/>
    </row>
    <row r="51" spans="1:14" ht="21.75">
      <c r="A51" s="6"/>
      <c r="B51" s="18"/>
      <c r="C51" s="20" t="s">
        <v>37</v>
      </c>
      <c r="D51" s="20" t="s">
        <v>22</v>
      </c>
      <c r="E51" s="22">
        <v>1000</v>
      </c>
      <c r="F51" s="21">
        <v>9.4</v>
      </c>
      <c r="G51" s="23">
        <f t="shared" si="4"/>
        <v>18.8</v>
      </c>
      <c r="H51" s="21">
        <f t="shared" si="5"/>
        <v>1.3160000000000003</v>
      </c>
      <c r="I51" s="23">
        <f t="shared" si="6"/>
        <v>9379.884</v>
      </c>
      <c r="J51" s="7"/>
      <c r="K51" s="19">
        <f t="shared" si="7"/>
        <v>50657.18339999999</v>
      </c>
      <c r="L51" s="51"/>
      <c r="M51" s="1"/>
      <c r="N51" s="1"/>
    </row>
    <row r="52" spans="1:14" ht="21.75">
      <c r="A52" s="6"/>
      <c r="B52" s="18"/>
      <c r="C52" s="129" t="s">
        <v>41</v>
      </c>
      <c r="D52" s="129" t="s">
        <v>17</v>
      </c>
      <c r="E52" s="136">
        <v>1300</v>
      </c>
      <c r="F52" s="130">
        <v>15.8</v>
      </c>
      <c r="G52" s="137">
        <f t="shared" si="4"/>
        <v>41.08</v>
      </c>
      <c r="H52" s="130">
        <f t="shared" si="5"/>
        <v>2.8756</v>
      </c>
      <c r="I52" s="137">
        <f t="shared" si="6"/>
        <v>-20583.9556</v>
      </c>
      <c r="J52" s="7"/>
      <c r="K52" s="19">
        <f t="shared" si="7"/>
        <v>30073.227799999986</v>
      </c>
      <c r="L52" s="51"/>
      <c r="M52" s="1"/>
      <c r="N52" s="1"/>
    </row>
    <row r="53" spans="1:14" ht="21.75">
      <c r="A53" s="6"/>
      <c r="B53" s="18"/>
      <c r="C53" s="103" t="s">
        <v>26</v>
      </c>
      <c r="D53" s="103" t="s">
        <v>22</v>
      </c>
      <c r="E53" s="111">
        <v>10000</v>
      </c>
      <c r="F53" s="104">
        <v>0.38</v>
      </c>
      <c r="G53" s="112">
        <f t="shared" si="4"/>
        <v>7.6000000000000005</v>
      </c>
      <c r="H53" s="104">
        <f t="shared" si="5"/>
        <v>0.5320000000000001</v>
      </c>
      <c r="I53" s="112">
        <f t="shared" si="6"/>
        <v>3791.868</v>
      </c>
      <c r="J53" s="7"/>
      <c r="K53" s="19">
        <f t="shared" si="7"/>
        <v>33865.09579999999</v>
      </c>
      <c r="L53" s="160">
        <f>SUM(I27:I30)+I22+I32+I33+I35+I39+I49+I53</f>
        <v>-9349.310000000001</v>
      </c>
      <c r="M53" s="1"/>
      <c r="N53" s="1"/>
    </row>
    <row r="54" spans="1:14" ht="22.5" thickBot="1">
      <c r="A54" s="28"/>
      <c r="B54" s="29"/>
      <c r="C54" s="161" t="s">
        <v>41</v>
      </c>
      <c r="D54" s="161" t="s">
        <v>17</v>
      </c>
      <c r="E54" s="162">
        <v>800</v>
      </c>
      <c r="F54" s="163">
        <v>15.6</v>
      </c>
      <c r="G54" s="164">
        <f t="shared" si="4"/>
        <v>24.96</v>
      </c>
      <c r="H54" s="163">
        <f t="shared" si="5"/>
        <v>1.7472000000000003</v>
      </c>
      <c r="I54" s="164">
        <f t="shared" si="6"/>
        <v>-12506.707199999999</v>
      </c>
      <c r="J54" s="34"/>
      <c r="K54" s="35">
        <f t="shared" si="7"/>
        <v>21358.38859999999</v>
      </c>
      <c r="L54" s="36"/>
      <c r="M54" s="1"/>
      <c r="N54" s="1"/>
    </row>
    <row r="55" spans="1:12" ht="22.5" thickBot="1">
      <c r="A55" s="37" t="s">
        <v>42</v>
      </c>
      <c r="B55" s="38"/>
      <c r="C55" s="165" t="s">
        <v>37</v>
      </c>
      <c r="D55" s="165" t="s">
        <v>22</v>
      </c>
      <c r="E55" s="166">
        <v>400</v>
      </c>
      <c r="F55" s="167">
        <v>9.6</v>
      </c>
      <c r="G55" s="168">
        <f t="shared" si="4"/>
        <v>7.68</v>
      </c>
      <c r="H55" s="167">
        <f t="shared" si="5"/>
        <v>0.5376000000000001</v>
      </c>
      <c r="I55" s="168">
        <f t="shared" si="6"/>
        <v>3831.7824</v>
      </c>
      <c r="J55" s="43">
        <f>I55</f>
        <v>3831.7824</v>
      </c>
      <c r="K55" s="44">
        <f>K54+I55</f>
        <v>25190.17099999999</v>
      </c>
      <c r="L55" s="169">
        <f>I43+I51+I55</f>
        <v>-677.9939999999988</v>
      </c>
    </row>
    <row r="56" spans="1:14" ht="21.75">
      <c r="A56" s="24" t="s">
        <v>43</v>
      </c>
      <c r="B56" s="25"/>
      <c r="C56" s="174" t="s">
        <v>41</v>
      </c>
      <c r="D56" s="174" t="s">
        <v>22</v>
      </c>
      <c r="E56" s="175">
        <v>2100</v>
      </c>
      <c r="F56" s="176">
        <v>16.3</v>
      </c>
      <c r="G56" s="177">
        <f t="shared" si="4"/>
        <v>68.46000000000001</v>
      </c>
      <c r="H56" s="176">
        <f t="shared" si="5"/>
        <v>4.792200000000001</v>
      </c>
      <c r="I56" s="177">
        <f t="shared" si="6"/>
        <v>34156.7478</v>
      </c>
      <c r="J56" s="26">
        <f>SUM(I56:I58)</f>
        <v>67395.4644</v>
      </c>
      <c r="K56" s="27">
        <f t="shared" si="7"/>
        <v>59346.918799999985</v>
      </c>
      <c r="L56" s="109"/>
      <c r="M56" s="1"/>
      <c r="N56" s="1"/>
    </row>
    <row r="57" spans="1:14" ht="21.75">
      <c r="A57" s="6"/>
      <c r="B57" s="18"/>
      <c r="C57" s="170" t="s">
        <v>19</v>
      </c>
      <c r="D57" s="170" t="s">
        <v>22</v>
      </c>
      <c r="E57" s="171">
        <v>600</v>
      </c>
      <c r="F57" s="172">
        <v>28</v>
      </c>
      <c r="G57" s="173">
        <f t="shared" si="4"/>
        <v>33.6</v>
      </c>
      <c r="H57" s="172">
        <f t="shared" si="5"/>
        <v>2.3520000000000003</v>
      </c>
      <c r="I57" s="173">
        <f t="shared" si="6"/>
        <v>16764.048000000003</v>
      </c>
      <c r="J57" s="7"/>
      <c r="K57" s="19">
        <f t="shared" si="7"/>
        <v>76110.9668</v>
      </c>
      <c r="L57" s="178">
        <f>I40+I57</f>
        <v>679.7010000000028</v>
      </c>
      <c r="M57" s="1"/>
      <c r="N57" s="1"/>
    </row>
    <row r="58" spans="1:14" ht="22.5" thickBot="1">
      <c r="A58" s="6"/>
      <c r="B58" s="18"/>
      <c r="C58" s="268" t="s">
        <v>38</v>
      </c>
      <c r="D58" s="268" t="s">
        <v>22</v>
      </c>
      <c r="E58" s="269">
        <v>1300</v>
      </c>
      <c r="F58" s="270">
        <v>12.7</v>
      </c>
      <c r="G58" s="271">
        <f t="shared" si="4"/>
        <v>33.02</v>
      </c>
      <c r="H58" s="270">
        <f t="shared" si="5"/>
        <v>2.3114000000000003</v>
      </c>
      <c r="I58" s="271">
        <f t="shared" si="6"/>
        <v>16474.6686</v>
      </c>
      <c r="J58" s="7"/>
      <c r="K58" s="19">
        <f t="shared" si="7"/>
        <v>92585.6354</v>
      </c>
      <c r="L58" s="272">
        <f>I44+I58</f>
        <v>580.7282000000032</v>
      </c>
      <c r="M58" s="1"/>
      <c r="N58" s="261"/>
    </row>
    <row r="59" spans="1:14" ht="21.75">
      <c r="A59" s="258" t="s">
        <v>44</v>
      </c>
      <c r="B59" s="24"/>
      <c r="C59" s="263" t="s">
        <v>23</v>
      </c>
      <c r="D59" s="179" t="s">
        <v>17</v>
      </c>
      <c r="E59" s="180">
        <v>1000</v>
      </c>
      <c r="F59" s="181">
        <v>5.8</v>
      </c>
      <c r="G59" s="182">
        <f t="shared" si="4"/>
        <v>11.6</v>
      </c>
      <c r="H59" s="181">
        <f t="shared" si="5"/>
        <v>0.812</v>
      </c>
      <c r="I59" s="182">
        <f t="shared" si="6"/>
        <v>-5812.412</v>
      </c>
      <c r="J59" s="26">
        <f>SUM(I59:I63)</f>
        <v>-65088.992999999995</v>
      </c>
      <c r="K59" s="27">
        <f t="shared" si="7"/>
        <v>86773.2234</v>
      </c>
      <c r="L59" s="109"/>
      <c r="M59" s="1"/>
      <c r="N59" s="1"/>
    </row>
    <row r="60" spans="1:14" ht="21.75">
      <c r="A60" s="259"/>
      <c r="B60" s="6"/>
      <c r="C60" s="264" t="s">
        <v>23</v>
      </c>
      <c r="D60" s="69" t="s">
        <v>17</v>
      </c>
      <c r="E60" s="81">
        <v>1000</v>
      </c>
      <c r="F60" s="70">
        <v>5.75</v>
      </c>
      <c r="G60" s="82">
        <f t="shared" si="4"/>
        <v>11.5</v>
      </c>
      <c r="H60" s="70">
        <f t="shared" si="5"/>
        <v>0.805</v>
      </c>
      <c r="I60" s="82">
        <f t="shared" si="6"/>
        <v>-5762.305</v>
      </c>
      <c r="J60" s="7"/>
      <c r="K60" s="19">
        <f t="shared" si="7"/>
        <v>81010.9184</v>
      </c>
      <c r="L60" s="51"/>
      <c r="M60" s="1"/>
      <c r="N60" s="1"/>
    </row>
    <row r="61" spans="1:14" ht="21.75">
      <c r="A61" s="259"/>
      <c r="B61" s="6"/>
      <c r="C61" s="264" t="s">
        <v>23</v>
      </c>
      <c r="D61" s="69" t="s">
        <v>17</v>
      </c>
      <c r="E61" s="81">
        <v>3000</v>
      </c>
      <c r="F61" s="70">
        <v>5.7</v>
      </c>
      <c r="G61" s="82">
        <f t="shared" si="4"/>
        <v>34.2</v>
      </c>
      <c r="H61" s="70">
        <f t="shared" si="5"/>
        <v>2.3940000000000006</v>
      </c>
      <c r="I61" s="82">
        <f t="shared" si="6"/>
        <v>-17136.594</v>
      </c>
      <c r="J61" s="7"/>
      <c r="K61" s="19">
        <f t="shared" si="7"/>
        <v>63874.3244</v>
      </c>
      <c r="L61" s="51"/>
      <c r="M61" s="1"/>
      <c r="N61" s="1"/>
    </row>
    <row r="62" spans="1:14" ht="21.75">
      <c r="A62" s="259"/>
      <c r="B62" s="6"/>
      <c r="C62" s="265" t="s">
        <v>45</v>
      </c>
      <c r="D62" s="183" t="s">
        <v>17</v>
      </c>
      <c r="E62" s="184">
        <v>1000</v>
      </c>
      <c r="F62" s="185">
        <v>20.3</v>
      </c>
      <c r="G62" s="186">
        <f t="shared" si="4"/>
        <v>40.6</v>
      </c>
      <c r="H62" s="185">
        <f t="shared" si="5"/>
        <v>2.8420000000000005</v>
      </c>
      <c r="I62" s="186">
        <f t="shared" si="6"/>
        <v>-20343.442</v>
      </c>
      <c r="J62" s="7"/>
      <c r="K62" s="19">
        <f t="shared" si="7"/>
        <v>43530.8824</v>
      </c>
      <c r="L62" s="51"/>
      <c r="M62" s="1"/>
      <c r="N62" s="1"/>
    </row>
    <row r="63" spans="1:12" ht="22.5" thickBot="1">
      <c r="A63" s="260"/>
      <c r="B63" s="28"/>
      <c r="C63" s="266" t="s">
        <v>46</v>
      </c>
      <c r="D63" s="187" t="s">
        <v>17</v>
      </c>
      <c r="E63" s="188">
        <v>1000</v>
      </c>
      <c r="F63" s="189">
        <v>16</v>
      </c>
      <c r="G63" s="190">
        <f t="shared" si="4"/>
        <v>32</v>
      </c>
      <c r="H63" s="189">
        <f t="shared" si="5"/>
        <v>2.24</v>
      </c>
      <c r="I63" s="190">
        <f t="shared" si="6"/>
        <v>-16034.24</v>
      </c>
      <c r="J63" s="34"/>
      <c r="K63" s="35">
        <f>K62+I63</f>
        <v>27496.642400000004</v>
      </c>
      <c r="L63" s="36"/>
    </row>
    <row r="64" spans="1:14" ht="21.75">
      <c r="A64" s="6" t="s">
        <v>47</v>
      </c>
      <c r="B64" s="18"/>
      <c r="C64" s="64" t="s">
        <v>46</v>
      </c>
      <c r="D64" s="64" t="s">
        <v>22</v>
      </c>
      <c r="E64" s="250">
        <v>1000</v>
      </c>
      <c r="F64" s="67">
        <v>16.9</v>
      </c>
      <c r="G64" s="251">
        <f t="shared" si="4"/>
        <v>33.8</v>
      </c>
      <c r="H64" s="67">
        <f aca="true" t="shared" si="8" ref="H64:H111">com*0.07</f>
        <v>2.366</v>
      </c>
      <c r="I64" s="251">
        <f t="shared" si="6"/>
        <v>16863.834</v>
      </c>
      <c r="J64" s="7">
        <f>SUM(I64:I65)</f>
        <v>-884.0653999999995</v>
      </c>
      <c r="K64" s="19">
        <f t="shared" si="7"/>
        <v>44360.4764</v>
      </c>
      <c r="L64" s="80">
        <f>I63+I64</f>
        <v>829.5939999999991</v>
      </c>
      <c r="M64" s="1"/>
      <c r="N64" s="1"/>
    </row>
    <row r="65" spans="1:14" ht="22.5" thickBot="1">
      <c r="A65" s="28"/>
      <c r="B65" s="29"/>
      <c r="C65" s="197" t="s">
        <v>41</v>
      </c>
      <c r="D65" s="210" t="s">
        <v>17</v>
      </c>
      <c r="E65" s="207">
        <v>1100</v>
      </c>
      <c r="F65" s="211">
        <v>16.1</v>
      </c>
      <c r="G65" s="208">
        <f t="shared" si="4"/>
        <v>35.42</v>
      </c>
      <c r="H65" s="211">
        <f t="shared" si="8"/>
        <v>2.4794000000000005</v>
      </c>
      <c r="I65" s="198">
        <f t="shared" si="6"/>
        <v>-17747.8994</v>
      </c>
      <c r="J65" s="34"/>
      <c r="K65" s="35">
        <f t="shared" si="7"/>
        <v>26612.577</v>
      </c>
      <c r="L65" s="36"/>
      <c r="M65" s="1"/>
      <c r="N65" s="1"/>
    </row>
    <row r="66" spans="1:14" ht="22.5" thickBot="1">
      <c r="A66" s="6" t="s">
        <v>48</v>
      </c>
      <c r="B66" s="18"/>
      <c r="C66" s="199" t="s">
        <v>41</v>
      </c>
      <c r="D66" s="226" t="s">
        <v>17</v>
      </c>
      <c r="E66" s="225">
        <v>500</v>
      </c>
      <c r="F66" s="200">
        <v>16</v>
      </c>
      <c r="G66" s="200">
        <f t="shared" si="4"/>
        <v>16</v>
      </c>
      <c r="H66" s="200">
        <f t="shared" si="8"/>
        <v>1.12</v>
      </c>
      <c r="I66" s="198">
        <f t="shared" si="6"/>
        <v>-8017.12</v>
      </c>
      <c r="J66" s="221">
        <f>I66</f>
        <v>-8017.12</v>
      </c>
      <c r="K66" s="227">
        <f t="shared" si="7"/>
        <v>18595.457000000002</v>
      </c>
      <c r="L66" s="51"/>
      <c r="M66" s="1"/>
      <c r="N66" s="1"/>
    </row>
    <row r="67" spans="1:14" ht="21.75">
      <c r="A67" s="24" t="s">
        <v>52</v>
      </c>
      <c r="B67" s="25"/>
      <c r="C67" s="60" t="s">
        <v>51</v>
      </c>
      <c r="D67" s="223" t="s">
        <v>17</v>
      </c>
      <c r="E67" s="224">
        <v>300</v>
      </c>
      <c r="F67" s="79">
        <v>13.6</v>
      </c>
      <c r="G67" s="61">
        <f t="shared" si="4"/>
        <v>8.16</v>
      </c>
      <c r="H67" s="79">
        <f t="shared" si="8"/>
        <v>0.5712</v>
      </c>
      <c r="I67" s="61">
        <f t="shared" si="6"/>
        <v>-4088.7311999999997</v>
      </c>
      <c r="J67" s="212">
        <f>I67+I68</f>
        <v>-17517.407199999998</v>
      </c>
      <c r="K67" s="228">
        <f t="shared" si="7"/>
        <v>14506.725800000002</v>
      </c>
      <c r="L67" s="213"/>
      <c r="M67" s="1"/>
      <c r="N67" s="1"/>
    </row>
    <row r="68" spans="1:14" ht="22.5" thickBot="1">
      <c r="A68" s="28"/>
      <c r="B68" s="29"/>
      <c r="C68" s="153" t="s">
        <v>51</v>
      </c>
      <c r="D68" s="216" t="s">
        <v>17</v>
      </c>
      <c r="E68" s="222">
        <v>1000</v>
      </c>
      <c r="F68" s="156">
        <v>13.4</v>
      </c>
      <c r="G68" s="155">
        <f t="shared" si="4"/>
        <v>26.8</v>
      </c>
      <c r="H68" s="156">
        <f t="shared" si="8"/>
        <v>1.8760000000000003</v>
      </c>
      <c r="I68" s="155">
        <f t="shared" si="6"/>
        <v>-13428.676</v>
      </c>
      <c r="J68" s="214"/>
      <c r="K68" s="229">
        <f t="shared" si="7"/>
        <v>1078.0498000000025</v>
      </c>
      <c r="L68" s="215"/>
      <c r="M68" s="1"/>
      <c r="N68" s="1"/>
    </row>
    <row r="69" spans="1:14" ht="22.5" thickBot="1">
      <c r="A69" s="209" t="s">
        <v>49</v>
      </c>
      <c r="B69" s="38"/>
      <c r="C69" s="201" t="s">
        <v>45</v>
      </c>
      <c r="D69" s="201" t="s">
        <v>22</v>
      </c>
      <c r="E69" s="202">
        <v>100</v>
      </c>
      <c r="F69" s="203">
        <v>20.5</v>
      </c>
      <c r="G69" s="204">
        <f t="shared" si="4"/>
        <v>4.1</v>
      </c>
      <c r="H69" s="203">
        <f t="shared" si="8"/>
        <v>0.287</v>
      </c>
      <c r="I69" s="204">
        <f t="shared" si="6"/>
        <v>2045.613</v>
      </c>
      <c r="J69" s="43">
        <f>I69</f>
        <v>2045.613</v>
      </c>
      <c r="K69" s="227">
        <f t="shared" si="7"/>
        <v>3123.662800000003</v>
      </c>
      <c r="L69" s="45"/>
      <c r="M69" s="1"/>
      <c r="N69" s="1"/>
    </row>
    <row r="70" spans="1:14" ht="21.75">
      <c r="A70" s="24" t="s">
        <v>50</v>
      </c>
      <c r="B70" s="18"/>
      <c r="C70" s="183" t="s">
        <v>45</v>
      </c>
      <c r="D70" s="183" t="s">
        <v>22</v>
      </c>
      <c r="E70" s="184">
        <v>900</v>
      </c>
      <c r="F70" s="185">
        <v>21.2</v>
      </c>
      <c r="G70" s="186">
        <f t="shared" si="4"/>
        <v>38.160000000000004</v>
      </c>
      <c r="H70" s="185">
        <f t="shared" si="8"/>
        <v>2.6712000000000007</v>
      </c>
      <c r="I70" s="186">
        <f t="shared" si="6"/>
        <v>19039.1688</v>
      </c>
      <c r="J70" s="7">
        <f>I70+I71+I72</f>
        <v>47428.2858</v>
      </c>
      <c r="K70" s="19">
        <f t="shared" si="7"/>
        <v>22162.8316</v>
      </c>
      <c r="L70" s="206">
        <f>I62+I69+I70</f>
        <v>741.3398000000016</v>
      </c>
      <c r="M70" s="1"/>
      <c r="N70" s="1"/>
    </row>
    <row r="71" spans="1:14" ht="21.75">
      <c r="A71" s="6"/>
      <c r="B71" s="18"/>
      <c r="C71" s="69" t="s">
        <v>23</v>
      </c>
      <c r="D71" s="69" t="s">
        <v>22</v>
      </c>
      <c r="E71" s="81">
        <v>3000</v>
      </c>
      <c r="F71" s="70">
        <v>5.65</v>
      </c>
      <c r="G71" s="82">
        <f t="shared" si="4"/>
        <v>33.9</v>
      </c>
      <c r="H71" s="70">
        <f t="shared" si="8"/>
        <v>2.373</v>
      </c>
      <c r="I71" s="82">
        <f t="shared" si="6"/>
        <v>16913.727</v>
      </c>
      <c r="J71" s="7"/>
      <c r="K71" s="19">
        <f t="shared" si="7"/>
        <v>39076.558600000004</v>
      </c>
      <c r="L71" s="51"/>
      <c r="M71" s="1"/>
      <c r="N71" s="1"/>
    </row>
    <row r="72" spans="1:14" ht="22.5" thickBot="1">
      <c r="A72" s="28"/>
      <c r="B72" s="29"/>
      <c r="C72" s="138" t="s">
        <v>23</v>
      </c>
      <c r="D72" s="138" t="s">
        <v>22</v>
      </c>
      <c r="E72" s="139">
        <v>2000</v>
      </c>
      <c r="F72" s="140">
        <v>5.75</v>
      </c>
      <c r="G72" s="141">
        <f t="shared" si="4"/>
        <v>23</v>
      </c>
      <c r="H72" s="140">
        <f t="shared" si="8"/>
        <v>1.61</v>
      </c>
      <c r="I72" s="141">
        <f t="shared" si="6"/>
        <v>11475.39</v>
      </c>
      <c r="J72" s="34"/>
      <c r="K72" s="35">
        <f t="shared" si="7"/>
        <v>50551.9486</v>
      </c>
      <c r="L72" s="205">
        <f>I59+I60+I61+I71+I72</f>
        <v>-322.19400000000314</v>
      </c>
      <c r="M72" s="1"/>
      <c r="N72" s="1"/>
    </row>
    <row r="73" spans="1:14" ht="22.5" thickBot="1">
      <c r="A73" s="209" t="s">
        <v>53</v>
      </c>
      <c r="B73" s="38"/>
      <c r="C73" s="217" t="s">
        <v>51</v>
      </c>
      <c r="D73" s="217" t="s">
        <v>17</v>
      </c>
      <c r="E73" s="218">
        <v>1000</v>
      </c>
      <c r="F73" s="219">
        <v>12.9</v>
      </c>
      <c r="G73" s="220">
        <f t="shared" si="4"/>
        <v>25.8</v>
      </c>
      <c r="H73" s="219">
        <f t="shared" si="8"/>
        <v>1.8060000000000003</v>
      </c>
      <c r="I73" s="220">
        <f t="shared" si="6"/>
        <v>-12927.606</v>
      </c>
      <c r="J73" s="43">
        <f>I73</f>
        <v>-12927.606</v>
      </c>
      <c r="K73" s="44">
        <f t="shared" si="7"/>
        <v>37624.3426</v>
      </c>
      <c r="L73" s="45"/>
      <c r="M73" s="1"/>
      <c r="N73" s="1"/>
    </row>
    <row r="74" spans="1:14" ht="21.75">
      <c r="A74" s="24" t="s">
        <v>54</v>
      </c>
      <c r="B74" s="25"/>
      <c r="C74" s="105" t="s">
        <v>51</v>
      </c>
      <c r="D74" s="105" t="s">
        <v>22</v>
      </c>
      <c r="E74" s="106">
        <v>1300</v>
      </c>
      <c r="F74" s="107">
        <v>13.5</v>
      </c>
      <c r="G74" s="108">
        <f t="shared" si="4"/>
        <v>35.1</v>
      </c>
      <c r="H74" s="107">
        <f t="shared" si="8"/>
        <v>2.4570000000000003</v>
      </c>
      <c r="I74" s="108">
        <f t="shared" si="6"/>
        <v>17512.443000000003</v>
      </c>
      <c r="J74" s="26">
        <f>SUM(I74:I77)</f>
        <v>7161.291399999996</v>
      </c>
      <c r="K74" s="27">
        <f t="shared" si="7"/>
        <v>55136.7856</v>
      </c>
      <c r="L74" s="109"/>
      <c r="M74" s="1"/>
      <c r="N74" s="1"/>
    </row>
    <row r="75" spans="1:14" ht="21.75">
      <c r="A75" s="6"/>
      <c r="B75" s="18"/>
      <c r="C75" s="60" t="s">
        <v>51</v>
      </c>
      <c r="D75" s="60" t="s">
        <v>17</v>
      </c>
      <c r="E75" s="78">
        <v>1300</v>
      </c>
      <c r="F75" s="61">
        <v>13.3</v>
      </c>
      <c r="G75" s="79">
        <f t="shared" si="4"/>
        <v>34.58</v>
      </c>
      <c r="H75" s="61">
        <f t="shared" si="8"/>
        <v>2.4206000000000003</v>
      </c>
      <c r="I75" s="79">
        <f t="shared" si="6"/>
        <v>-17327.000600000003</v>
      </c>
      <c r="J75" s="7"/>
      <c r="K75" s="19">
        <f t="shared" si="7"/>
        <v>37809.785</v>
      </c>
      <c r="L75" s="51"/>
      <c r="M75" s="1"/>
      <c r="N75" s="1"/>
    </row>
    <row r="76" spans="1:14" ht="21.75">
      <c r="A76" s="6"/>
      <c r="B76" s="18"/>
      <c r="C76" s="60" t="s">
        <v>51</v>
      </c>
      <c r="D76" s="60" t="s">
        <v>22</v>
      </c>
      <c r="E76" s="78">
        <v>1500</v>
      </c>
      <c r="F76" s="61">
        <v>13.9</v>
      </c>
      <c r="G76" s="79">
        <f aca="true" t="shared" si="9" ref="G76:G111">vol*price*0.002</f>
        <v>41.7</v>
      </c>
      <c r="H76" s="61">
        <f t="shared" si="8"/>
        <v>2.9190000000000005</v>
      </c>
      <c r="I76" s="79">
        <f aca="true" t="shared" si="10" ref="I76:I110">IF(type="b",((vol*price)+com+vat)*(-1),IF(type="s",(vol*price)-com-vat,))</f>
        <v>20805.380999999998</v>
      </c>
      <c r="J76" s="7"/>
      <c r="K76" s="19">
        <f t="shared" si="7"/>
        <v>58615.166</v>
      </c>
      <c r="L76" s="51"/>
      <c r="M76" s="1"/>
      <c r="N76" s="1"/>
    </row>
    <row r="77" spans="1:14" ht="22.5" thickBot="1">
      <c r="A77" s="28"/>
      <c r="B77" s="29"/>
      <c r="C77" s="153" t="s">
        <v>51</v>
      </c>
      <c r="D77" s="153" t="s">
        <v>17</v>
      </c>
      <c r="E77" s="154">
        <v>1000</v>
      </c>
      <c r="F77" s="155">
        <v>13.8</v>
      </c>
      <c r="G77" s="156">
        <f t="shared" si="9"/>
        <v>27.6</v>
      </c>
      <c r="H77" s="155">
        <f t="shared" si="8"/>
        <v>1.9320000000000004</v>
      </c>
      <c r="I77" s="156">
        <f t="shared" si="10"/>
        <v>-13829.532000000001</v>
      </c>
      <c r="J77" s="34"/>
      <c r="K77" s="35">
        <f aca="true" t="shared" si="11" ref="K77:K106">K76+I77</f>
        <v>44785.634</v>
      </c>
      <c r="L77" s="36"/>
      <c r="M77" s="1"/>
      <c r="N77" s="1"/>
    </row>
    <row r="78" spans="1:14" ht="21.75">
      <c r="A78" s="24" t="s">
        <v>55</v>
      </c>
      <c r="B78" s="24"/>
      <c r="C78" s="105" t="s">
        <v>51</v>
      </c>
      <c r="D78" s="105" t="s">
        <v>17</v>
      </c>
      <c r="E78" s="106">
        <v>500</v>
      </c>
      <c r="F78" s="107">
        <v>13.8</v>
      </c>
      <c r="G78" s="108">
        <f t="shared" si="9"/>
        <v>13.8</v>
      </c>
      <c r="H78" s="107">
        <f t="shared" si="8"/>
        <v>0.9660000000000002</v>
      </c>
      <c r="I78" s="108">
        <f t="shared" si="10"/>
        <v>-6914.7660000000005</v>
      </c>
      <c r="J78" s="26">
        <f>SUM(I78:I79)</f>
        <v>-14180.281</v>
      </c>
      <c r="K78" s="27">
        <f t="shared" si="11"/>
        <v>37870.867999999995</v>
      </c>
      <c r="L78" s="109"/>
      <c r="M78" s="1"/>
      <c r="N78" s="1"/>
    </row>
    <row r="79" spans="1:14" ht="22.5" thickBot="1">
      <c r="A79" s="230"/>
      <c r="B79" s="29"/>
      <c r="C79" s="91" t="s">
        <v>46</v>
      </c>
      <c r="D79" s="232" t="s">
        <v>17</v>
      </c>
      <c r="E79" s="233">
        <v>500</v>
      </c>
      <c r="F79" s="94">
        <v>14.5</v>
      </c>
      <c r="G79" s="234">
        <f t="shared" si="9"/>
        <v>14.5</v>
      </c>
      <c r="H79" s="234">
        <f t="shared" si="8"/>
        <v>1.0150000000000001</v>
      </c>
      <c r="I79" s="234">
        <f t="shared" si="10"/>
        <v>-7265.515</v>
      </c>
      <c r="J79" s="231"/>
      <c r="K79" s="52">
        <f t="shared" si="11"/>
        <v>30605.352999999996</v>
      </c>
      <c r="L79" s="36"/>
      <c r="M79" s="1"/>
      <c r="N79" s="1"/>
    </row>
    <row r="80" spans="1:14" ht="21.75">
      <c r="A80" s="24" t="s">
        <v>56</v>
      </c>
      <c r="B80" s="25"/>
      <c r="C80" s="105" t="s">
        <v>51</v>
      </c>
      <c r="D80" s="105" t="s">
        <v>22</v>
      </c>
      <c r="E80" s="106">
        <v>1000</v>
      </c>
      <c r="F80" s="107">
        <v>13.5</v>
      </c>
      <c r="G80" s="108">
        <f t="shared" si="9"/>
        <v>27</v>
      </c>
      <c r="H80" s="107">
        <f t="shared" si="8"/>
        <v>1.8900000000000001</v>
      </c>
      <c r="I80" s="108">
        <f t="shared" si="10"/>
        <v>13471.11</v>
      </c>
      <c r="J80" s="26">
        <f>SUM(I80:I81)</f>
        <v>-57.779999999998836</v>
      </c>
      <c r="K80" s="27">
        <f t="shared" si="11"/>
        <v>44076.462999999996</v>
      </c>
      <c r="L80" s="109"/>
      <c r="M80" s="1"/>
      <c r="N80" s="1"/>
    </row>
    <row r="81" spans="1:14" ht="22.5" thickBot="1">
      <c r="A81" s="28"/>
      <c r="B81" s="29"/>
      <c r="C81" s="30" t="s">
        <v>57</v>
      </c>
      <c r="D81" s="30" t="s">
        <v>17</v>
      </c>
      <c r="E81" s="31">
        <v>100</v>
      </c>
      <c r="F81" s="32">
        <v>135</v>
      </c>
      <c r="G81" s="33">
        <f t="shared" si="9"/>
        <v>27</v>
      </c>
      <c r="H81" s="32">
        <f t="shared" si="8"/>
        <v>1.8900000000000001</v>
      </c>
      <c r="I81" s="33">
        <f t="shared" si="10"/>
        <v>-13528.89</v>
      </c>
      <c r="J81" s="34"/>
      <c r="K81" s="35">
        <f t="shared" si="11"/>
        <v>30547.572999999997</v>
      </c>
      <c r="L81" s="36"/>
      <c r="M81" s="1"/>
      <c r="N81" s="1"/>
    </row>
    <row r="82" spans="1:14" ht="21.75">
      <c r="A82" s="24" t="s">
        <v>59</v>
      </c>
      <c r="B82" s="25"/>
      <c r="C82" s="71" t="s">
        <v>57</v>
      </c>
      <c r="D82" s="71" t="s">
        <v>22</v>
      </c>
      <c r="E82" s="72">
        <v>100</v>
      </c>
      <c r="F82" s="73">
        <v>137</v>
      </c>
      <c r="G82" s="74">
        <f t="shared" si="9"/>
        <v>27.400000000000002</v>
      </c>
      <c r="H82" s="73">
        <f t="shared" si="8"/>
        <v>1.9180000000000004</v>
      </c>
      <c r="I82" s="74">
        <f t="shared" si="10"/>
        <v>13670.682</v>
      </c>
      <c r="J82" s="26">
        <f>SUM(I82:I83)</f>
        <v>242.00600000000122</v>
      </c>
      <c r="K82" s="27">
        <f t="shared" si="11"/>
        <v>44218.255</v>
      </c>
      <c r="L82" s="235">
        <f>I81+I82</f>
        <v>141.79200000000128</v>
      </c>
      <c r="M82" s="1"/>
      <c r="N82" s="1"/>
    </row>
    <row r="83" spans="1:14" ht="22.5" thickBot="1">
      <c r="A83" s="28"/>
      <c r="B83" s="29"/>
      <c r="C83" s="153" t="s">
        <v>51</v>
      </c>
      <c r="D83" s="153" t="s">
        <v>17</v>
      </c>
      <c r="E83" s="154">
        <v>1000</v>
      </c>
      <c r="F83" s="155">
        <v>13.4</v>
      </c>
      <c r="G83" s="156">
        <f t="shared" si="9"/>
        <v>26.8</v>
      </c>
      <c r="H83" s="155">
        <f t="shared" si="8"/>
        <v>1.8760000000000003</v>
      </c>
      <c r="I83" s="156">
        <f t="shared" si="10"/>
        <v>-13428.676</v>
      </c>
      <c r="J83" s="34"/>
      <c r="K83" s="35">
        <f t="shared" si="11"/>
        <v>30789.578999999998</v>
      </c>
      <c r="L83" s="36"/>
      <c r="M83" s="1"/>
      <c r="N83" s="1"/>
    </row>
    <row r="84" spans="1:14" ht="21.75">
      <c r="A84" s="24" t="s">
        <v>60</v>
      </c>
      <c r="B84" s="25"/>
      <c r="C84" s="105" t="s">
        <v>51</v>
      </c>
      <c r="D84" s="105" t="s">
        <v>22</v>
      </c>
      <c r="E84" s="106">
        <v>1000</v>
      </c>
      <c r="F84" s="107">
        <v>13.5</v>
      </c>
      <c r="G84" s="108">
        <f t="shared" si="9"/>
        <v>27</v>
      </c>
      <c r="H84" s="107">
        <f t="shared" si="8"/>
        <v>1.8900000000000001</v>
      </c>
      <c r="I84" s="108">
        <f t="shared" si="10"/>
        <v>13471.11</v>
      </c>
      <c r="J84" s="26">
        <f>SUM(I84:I85)</f>
        <v>2046.7140000000018</v>
      </c>
      <c r="K84" s="27">
        <f t="shared" si="11"/>
        <v>44260.689</v>
      </c>
      <c r="L84" s="109"/>
      <c r="M84" s="1"/>
      <c r="N84" s="1"/>
    </row>
    <row r="85" spans="1:13" ht="22.5" thickBot="1">
      <c r="A85" s="28"/>
      <c r="B85" s="29"/>
      <c r="C85" s="187" t="s">
        <v>61</v>
      </c>
      <c r="D85" s="187" t="s">
        <v>17</v>
      </c>
      <c r="E85" s="188">
        <v>2000</v>
      </c>
      <c r="F85" s="189">
        <v>5.7</v>
      </c>
      <c r="G85" s="190">
        <f t="shared" si="9"/>
        <v>22.8</v>
      </c>
      <c r="H85" s="189">
        <f t="shared" si="8"/>
        <v>1.5960000000000003</v>
      </c>
      <c r="I85" s="190">
        <f t="shared" si="10"/>
        <v>-11424.395999999999</v>
      </c>
      <c r="J85" s="34"/>
      <c r="K85" s="286">
        <f>K84+I85</f>
        <v>32836.293</v>
      </c>
      <c r="L85" s="36"/>
      <c r="M85" s="1"/>
    </row>
    <row r="86" spans="1:14" ht="21.75">
      <c r="A86" s="236" t="s">
        <v>62</v>
      </c>
      <c r="B86" s="25"/>
      <c r="C86" s="117" t="s">
        <v>46</v>
      </c>
      <c r="D86" s="117" t="s">
        <v>22</v>
      </c>
      <c r="E86" s="118">
        <v>500</v>
      </c>
      <c r="F86" s="119">
        <v>15.7</v>
      </c>
      <c r="G86" s="120">
        <f t="shared" si="9"/>
        <v>15.700000000000001</v>
      </c>
      <c r="H86" s="119">
        <f t="shared" si="8"/>
        <v>1.0990000000000002</v>
      </c>
      <c r="I86" s="120">
        <f t="shared" si="10"/>
        <v>7833.201</v>
      </c>
      <c r="J86" s="26">
        <f>SUM(I86:I88)</f>
        <v>8049.71</v>
      </c>
      <c r="K86" s="27">
        <f t="shared" si="11"/>
        <v>40669.494</v>
      </c>
      <c r="L86" s="109"/>
      <c r="M86" s="1"/>
      <c r="N86" s="1"/>
    </row>
    <row r="87" spans="1:14" ht="21.75">
      <c r="A87" s="237"/>
      <c r="B87" s="18"/>
      <c r="C87" s="103" t="s">
        <v>46</v>
      </c>
      <c r="D87" s="103" t="s">
        <v>17</v>
      </c>
      <c r="E87" s="111">
        <v>500</v>
      </c>
      <c r="F87" s="104">
        <v>15.4</v>
      </c>
      <c r="G87" s="112">
        <f t="shared" si="9"/>
        <v>15.4</v>
      </c>
      <c r="H87" s="104">
        <f t="shared" si="8"/>
        <v>1.078</v>
      </c>
      <c r="I87" s="112">
        <f t="shared" si="10"/>
        <v>-7716.478</v>
      </c>
      <c r="J87" s="7"/>
      <c r="K87" s="19">
        <f t="shared" si="11"/>
        <v>32953.015999999996</v>
      </c>
      <c r="L87" s="51"/>
      <c r="M87" s="1"/>
      <c r="N87" s="1"/>
    </row>
    <row r="88" spans="1:14" ht="22.5" thickBot="1">
      <c r="A88" s="238"/>
      <c r="B88" s="29"/>
      <c r="C88" s="91" t="s">
        <v>46</v>
      </c>
      <c r="D88" s="91" t="s">
        <v>22</v>
      </c>
      <c r="E88" s="92">
        <v>500</v>
      </c>
      <c r="F88" s="93">
        <v>15.9</v>
      </c>
      <c r="G88" s="94">
        <f t="shared" si="9"/>
        <v>15.9</v>
      </c>
      <c r="H88" s="93">
        <f t="shared" si="8"/>
        <v>1.1130000000000002</v>
      </c>
      <c r="I88" s="94">
        <f t="shared" si="10"/>
        <v>7932.987</v>
      </c>
      <c r="J88" s="34"/>
      <c r="K88" s="35">
        <f t="shared" si="11"/>
        <v>40886.003</v>
      </c>
      <c r="L88" s="239">
        <f>SUM(I86:I88)+I79</f>
        <v>784.1949999999997</v>
      </c>
      <c r="M88" s="1"/>
      <c r="N88" s="1"/>
    </row>
    <row r="89" spans="1:14" ht="21.75">
      <c r="A89" s="236" t="s">
        <v>63</v>
      </c>
      <c r="B89" s="25"/>
      <c r="C89" s="240" t="s">
        <v>41</v>
      </c>
      <c r="D89" s="240" t="s">
        <v>22</v>
      </c>
      <c r="E89" s="241">
        <v>500</v>
      </c>
      <c r="F89" s="242">
        <v>14.4</v>
      </c>
      <c r="G89" s="243">
        <f t="shared" si="9"/>
        <v>14.4</v>
      </c>
      <c r="H89" s="242">
        <f t="shared" si="8"/>
        <v>1.0080000000000002</v>
      </c>
      <c r="I89" s="243">
        <f t="shared" si="10"/>
        <v>7184.592000000001</v>
      </c>
      <c r="J89" s="26">
        <f>SUM(I89:I93)</f>
        <v>-2068.821799999998</v>
      </c>
      <c r="K89" s="27">
        <f t="shared" si="11"/>
        <v>48070.595</v>
      </c>
      <c r="L89" s="109"/>
      <c r="M89" s="256"/>
      <c r="N89" s="1"/>
    </row>
    <row r="90" spans="1:14" ht="21.75">
      <c r="A90" s="237"/>
      <c r="B90" s="18"/>
      <c r="C90" s="60" t="s">
        <v>51</v>
      </c>
      <c r="D90" s="60" t="s">
        <v>22</v>
      </c>
      <c r="E90" s="78">
        <v>1300</v>
      </c>
      <c r="F90" s="61">
        <v>13.9</v>
      </c>
      <c r="G90" s="79">
        <f t="shared" si="9"/>
        <v>36.14</v>
      </c>
      <c r="H90" s="61">
        <f t="shared" si="8"/>
        <v>2.5298000000000003</v>
      </c>
      <c r="I90" s="79">
        <f t="shared" si="10"/>
        <v>18031.3302</v>
      </c>
      <c r="J90" s="7"/>
      <c r="K90" s="19">
        <f t="shared" si="11"/>
        <v>66101.9252</v>
      </c>
      <c r="L90" s="51"/>
      <c r="M90" s="1"/>
      <c r="N90" s="1"/>
    </row>
    <row r="91" spans="1:14" ht="21.75">
      <c r="A91" s="237"/>
      <c r="B91" s="18"/>
      <c r="C91" s="60" t="s">
        <v>51</v>
      </c>
      <c r="D91" s="60" t="s">
        <v>17</v>
      </c>
      <c r="E91" s="78">
        <v>1500</v>
      </c>
      <c r="F91" s="61">
        <v>14.2</v>
      </c>
      <c r="G91" s="79">
        <f t="shared" si="9"/>
        <v>42.6</v>
      </c>
      <c r="H91" s="61">
        <f t="shared" si="8"/>
        <v>2.982</v>
      </c>
      <c r="I91" s="79">
        <f t="shared" si="10"/>
        <v>-21345.582</v>
      </c>
      <c r="J91" s="7"/>
      <c r="K91" s="19">
        <f t="shared" si="11"/>
        <v>44756.3432</v>
      </c>
      <c r="L91" s="51"/>
      <c r="M91" s="1"/>
      <c r="N91" s="1"/>
    </row>
    <row r="92" spans="1:14" ht="21.75">
      <c r="A92" s="237"/>
      <c r="B92" s="18"/>
      <c r="C92" s="64" t="s">
        <v>61</v>
      </c>
      <c r="D92" s="64" t="s">
        <v>22</v>
      </c>
      <c r="E92" s="250">
        <v>1000</v>
      </c>
      <c r="F92" s="67">
        <v>6.2</v>
      </c>
      <c r="G92" s="251">
        <f t="shared" si="9"/>
        <v>12.4</v>
      </c>
      <c r="H92" s="67">
        <f t="shared" si="8"/>
        <v>0.8680000000000001</v>
      </c>
      <c r="I92" s="251">
        <f t="shared" si="10"/>
        <v>6186.732</v>
      </c>
      <c r="J92" s="7"/>
      <c r="K92" s="19">
        <f t="shared" si="11"/>
        <v>50943.07520000001</v>
      </c>
      <c r="L92" s="51"/>
      <c r="M92" s="1"/>
      <c r="N92" s="1"/>
    </row>
    <row r="93" spans="1:14" ht="22.5" thickBot="1">
      <c r="A93" s="238"/>
      <c r="B93" s="29"/>
      <c r="C93" s="187" t="s">
        <v>61</v>
      </c>
      <c r="D93" s="187" t="s">
        <v>17</v>
      </c>
      <c r="E93" s="188">
        <v>2000</v>
      </c>
      <c r="F93" s="189">
        <v>6.05</v>
      </c>
      <c r="G93" s="190">
        <f t="shared" si="9"/>
        <v>24.2</v>
      </c>
      <c r="H93" s="189">
        <f t="shared" si="8"/>
        <v>1.6940000000000002</v>
      </c>
      <c r="I93" s="190">
        <f t="shared" si="10"/>
        <v>-12125.894</v>
      </c>
      <c r="J93" s="34"/>
      <c r="K93" s="35">
        <f t="shared" si="11"/>
        <v>38817.181200000006</v>
      </c>
      <c r="L93" s="36"/>
      <c r="M93" s="1"/>
      <c r="N93" s="1"/>
    </row>
    <row r="94" spans="1:14" ht="22.5" thickBot="1">
      <c r="A94" s="244" t="s">
        <v>64</v>
      </c>
      <c r="B94" s="38"/>
      <c r="C94" s="39" t="s">
        <v>38</v>
      </c>
      <c r="D94" s="39" t="s">
        <v>17</v>
      </c>
      <c r="E94" s="40">
        <v>1000</v>
      </c>
      <c r="F94" s="41">
        <v>12</v>
      </c>
      <c r="G94" s="42">
        <f t="shared" si="9"/>
        <v>24</v>
      </c>
      <c r="H94" s="41">
        <f t="shared" si="8"/>
        <v>1.6800000000000002</v>
      </c>
      <c r="I94" s="42">
        <f t="shared" si="10"/>
        <v>-12025.68</v>
      </c>
      <c r="J94" s="43">
        <f>I94</f>
        <v>-12025.68</v>
      </c>
      <c r="K94" s="44">
        <f t="shared" si="11"/>
        <v>26791.501200000006</v>
      </c>
      <c r="L94" s="45"/>
      <c r="M94" s="1"/>
      <c r="N94" s="1"/>
    </row>
    <row r="95" spans="1:14" ht="21.75">
      <c r="A95" s="236" t="s">
        <v>65</v>
      </c>
      <c r="B95" s="25"/>
      <c r="C95" s="46" t="s">
        <v>38</v>
      </c>
      <c r="D95" s="46" t="s">
        <v>17</v>
      </c>
      <c r="E95" s="47">
        <v>200</v>
      </c>
      <c r="F95" s="48">
        <v>11.8</v>
      </c>
      <c r="G95" s="49">
        <f t="shared" si="9"/>
        <v>4.72</v>
      </c>
      <c r="H95" s="48">
        <f t="shared" si="8"/>
        <v>0.3304</v>
      </c>
      <c r="I95" s="49">
        <f t="shared" si="10"/>
        <v>-2365.0503999999996</v>
      </c>
      <c r="J95" s="26">
        <f>SUM(I95:I96)</f>
        <v>-15092.2284</v>
      </c>
      <c r="K95" s="27">
        <f t="shared" si="11"/>
        <v>24426.450800000006</v>
      </c>
      <c r="L95" s="109"/>
      <c r="M95" s="1"/>
      <c r="N95" s="1"/>
    </row>
    <row r="96" spans="1:14" ht="22.5" thickBot="1">
      <c r="A96" s="238"/>
      <c r="B96" s="29"/>
      <c r="C96" s="138" t="s">
        <v>57</v>
      </c>
      <c r="D96" s="138" t="s">
        <v>17</v>
      </c>
      <c r="E96" s="139">
        <v>100</v>
      </c>
      <c r="F96" s="140">
        <v>127</v>
      </c>
      <c r="G96" s="141">
        <f t="shared" si="9"/>
        <v>25.400000000000002</v>
      </c>
      <c r="H96" s="140">
        <f t="shared" si="8"/>
        <v>1.7780000000000002</v>
      </c>
      <c r="I96" s="141">
        <f t="shared" si="10"/>
        <v>-12727.178</v>
      </c>
      <c r="J96" s="34"/>
      <c r="K96" s="35">
        <f t="shared" si="11"/>
        <v>11699.272800000006</v>
      </c>
      <c r="L96" s="36"/>
      <c r="M96" s="1"/>
      <c r="N96" s="1"/>
    </row>
    <row r="97" spans="1:14" ht="22.5" thickBot="1">
      <c r="A97" s="244" t="s">
        <v>66</v>
      </c>
      <c r="B97" s="38"/>
      <c r="C97" s="252" t="s">
        <v>61</v>
      </c>
      <c r="D97" s="252" t="s">
        <v>17</v>
      </c>
      <c r="E97" s="253">
        <v>1800</v>
      </c>
      <c r="F97" s="254">
        <v>5.3</v>
      </c>
      <c r="G97" s="255">
        <f t="shared" si="9"/>
        <v>19.080000000000002</v>
      </c>
      <c r="H97" s="254">
        <f t="shared" si="8"/>
        <v>1.3356000000000003</v>
      </c>
      <c r="I97" s="255">
        <f t="shared" si="10"/>
        <v>-9560.4156</v>
      </c>
      <c r="J97" s="43">
        <f>I97</f>
        <v>-9560.4156</v>
      </c>
      <c r="K97" s="44">
        <f t="shared" si="11"/>
        <v>2138.857200000006</v>
      </c>
      <c r="L97" s="45"/>
      <c r="M97" s="1"/>
      <c r="N97" s="1"/>
    </row>
    <row r="98" spans="1:14" ht="22.5" thickBot="1">
      <c r="A98" s="244" t="s">
        <v>67</v>
      </c>
      <c r="B98" s="38"/>
      <c r="C98" s="217" t="s">
        <v>51</v>
      </c>
      <c r="D98" s="217" t="s">
        <v>22</v>
      </c>
      <c r="E98" s="218">
        <v>1000</v>
      </c>
      <c r="F98" s="219">
        <v>13.4</v>
      </c>
      <c r="G98" s="220">
        <f t="shared" si="9"/>
        <v>26.8</v>
      </c>
      <c r="H98" s="219">
        <f t="shared" si="8"/>
        <v>1.8760000000000003</v>
      </c>
      <c r="I98" s="220">
        <f t="shared" si="10"/>
        <v>13371.324</v>
      </c>
      <c r="J98" s="43">
        <f>I98</f>
        <v>13371.324</v>
      </c>
      <c r="K98" s="44">
        <f t="shared" si="11"/>
        <v>15510.181200000006</v>
      </c>
      <c r="L98" s="45"/>
      <c r="M98" s="1"/>
      <c r="N98" s="1"/>
    </row>
    <row r="99" spans="1:14" ht="21.75">
      <c r="A99" s="236" t="s">
        <v>68</v>
      </c>
      <c r="B99" s="25"/>
      <c r="C99" s="105" t="s">
        <v>51</v>
      </c>
      <c r="D99" s="105" t="s">
        <v>22</v>
      </c>
      <c r="E99" s="106">
        <v>500</v>
      </c>
      <c r="F99" s="107">
        <v>13.7</v>
      </c>
      <c r="G99" s="108">
        <f t="shared" si="9"/>
        <v>13.700000000000001</v>
      </c>
      <c r="H99" s="107">
        <f t="shared" si="8"/>
        <v>0.9590000000000002</v>
      </c>
      <c r="I99" s="108">
        <f t="shared" si="10"/>
        <v>6835.341</v>
      </c>
      <c r="J99" s="26">
        <f>SUM(I99:I101)</f>
        <v>3322.745999999999</v>
      </c>
      <c r="K99" s="27">
        <f t="shared" si="11"/>
        <v>22345.522200000007</v>
      </c>
      <c r="L99" s="245">
        <f>SUM(I67:I68)+SUM(I73:I78)+I80+SUM(I83:I84)+SUM(I90:I91)+SUM(I98:I99)</f>
        <v>207.46940000000177</v>
      </c>
      <c r="M99" s="1"/>
      <c r="N99" s="1"/>
    </row>
    <row r="100" spans="1:14" ht="21.75">
      <c r="A100" s="237"/>
      <c r="B100" s="18"/>
      <c r="C100" s="69" t="s">
        <v>57</v>
      </c>
      <c r="D100" s="69" t="s">
        <v>22</v>
      </c>
      <c r="E100" s="81">
        <v>100</v>
      </c>
      <c r="F100" s="70">
        <v>129</v>
      </c>
      <c r="G100" s="82">
        <f t="shared" si="9"/>
        <v>25.8</v>
      </c>
      <c r="H100" s="70">
        <f t="shared" si="8"/>
        <v>1.8060000000000003</v>
      </c>
      <c r="I100" s="82">
        <f t="shared" si="10"/>
        <v>12872.394</v>
      </c>
      <c r="J100" s="7"/>
      <c r="K100" s="19">
        <f t="shared" si="11"/>
        <v>35217.91620000001</v>
      </c>
      <c r="L100" s="110">
        <f>I96+I100</f>
        <v>145.21600000000035</v>
      </c>
      <c r="M100" s="1"/>
      <c r="N100" s="1"/>
    </row>
    <row r="101" spans="1:14" ht="22.5" thickBot="1">
      <c r="A101" s="238"/>
      <c r="B101" s="29"/>
      <c r="C101" s="143" t="s">
        <v>38</v>
      </c>
      <c r="D101" s="143" t="s">
        <v>17</v>
      </c>
      <c r="E101" s="144">
        <v>1500</v>
      </c>
      <c r="F101" s="145">
        <v>10.9</v>
      </c>
      <c r="G101" s="146">
        <f t="shared" si="9"/>
        <v>32.7</v>
      </c>
      <c r="H101" s="145">
        <f t="shared" si="8"/>
        <v>2.2890000000000006</v>
      </c>
      <c r="I101" s="146">
        <f t="shared" si="10"/>
        <v>-16384.989</v>
      </c>
      <c r="J101" s="34"/>
      <c r="K101" s="35">
        <f t="shared" si="11"/>
        <v>18832.927200000006</v>
      </c>
      <c r="L101" s="36"/>
      <c r="M101" s="1"/>
      <c r="N101" s="1"/>
    </row>
    <row r="102" spans="1:14" ht="21.75">
      <c r="A102" s="236" t="s">
        <v>70</v>
      </c>
      <c r="B102" s="25"/>
      <c r="C102" s="46" t="s">
        <v>38</v>
      </c>
      <c r="D102" s="46" t="s">
        <v>22</v>
      </c>
      <c r="E102" s="47">
        <v>1500</v>
      </c>
      <c r="F102" s="48">
        <v>11.1</v>
      </c>
      <c r="G102" s="49">
        <f t="shared" si="9"/>
        <v>33.3</v>
      </c>
      <c r="H102" s="48">
        <f t="shared" si="8"/>
        <v>2.331</v>
      </c>
      <c r="I102" s="49">
        <f t="shared" si="10"/>
        <v>16614.369000000002</v>
      </c>
      <c r="J102" s="26">
        <f>SUM(I102:I103)</f>
        <v>34426.17</v>
      </c>
      <c r="K102" s="27">
        <f t="shared" si="11"/>
        <v>35447.29620000001</v>
      </c>
      <c r="L102" s="109"/>
      <c r="M102" s="1"/>
      <c r="N102" s="1"/>
    </row>
    <row r="103" spans="1:13" ht="22.5" thickBot="1">
      <c r="A103" s="238"/>
      <c r="B103" s="29"/>
      <c r="C103" s="187" t="s">
        <v>61</v>
      </c>
      <c r="D103" s="187" t="s">
        <v>22</v>
      </c>
      <c r="E103" s="188">
        <v>3000</v>
      </c>
      <c r="F103" s="189">
        <v>5.95</v>
      </c>
      <c r="G103" s="190">
        <f t="shared" si="9"/>
        <v>35.7</v>
      </c>
      <c r="H103" s="189">
        <f t="shared" si="8"/>
        <v>2.4990000000000006</v>
      </c>
      <c r="I103" s="190">
        <f t="shared" si="10"/>
        <v>17811.801</v>
      </c>
      <c r="J103" s="34"/>
      <c r="K103" s="35">
        <f t="shared" si="11"/>
        <v>53259.09720000001</v>
      </c>
      <c r="L103" s="36"/>
      <c r="M103" s="1"/>
    </row>
    <row r="104" spans="1:12" ht="21.75">
      <c r="A104" s="236" t="s">
        <v>69</v>
      </c>
      <c r="B104" s="25"/>
      <c r="C104" s="192" t="s">
        <v>61</v>
      </c>
      <c r="D104" s="192" t="s">
        <v>22</v>
      </c>
      <c r="E104" s="193">
        <v>1800</v>
      </c>
      <c r="F104" s="194">
        <v>5.6</v>
      </c>
      <c r="G104" s="195">
        <f t="shared" si="9"/>
        <v>20.16</v>
      </c>
      <c r="H104" s="194">
        <f t="shared" si="8"/>
        <v>1.4112000000000002</v>
      </c>
      <c r="I104" s="195">
        <f t="shared" si="10"/>
        <v>10058.4288</v>
      </c>
      <c r="J104" s="26">
        <f>SUM(I104:I108)</f>
        <v>-12302.958199999997</v>
      </c>
      <c r="K104" s="27">
        <f t="shared" si="11"/>
        <v>63317.52600000001</v>
      </c>
      <c r="L104" s="196">
        <f>I85+I92+I93+I97+I103+I104</f>
        <v>946.2562000000016</v>
      </c>
    </row>
    <row r="105" spans="1:12" ht="21.75">
      <c r="A105" s="237"/>
      <c r="B105" s="18"/>
      <c r="C105" s="183" t="s">
        <v>61</v>
      </c>
      <c r="D105" s="183" t="s">
        <v>17</v>
      </c>
      <c r="E105" s="184">
        <v>1300</v>
      </c>
      <c r="F105" s="185">
        <v>5.5</v>
      </c>
      <c r="G105" s="186">
        <f t="shared" si="9"/>
        <v>14.3</v>
      </c>
      <c r="H105" s="185">
        <f t="shared" si="8"/>
        <v>1.0010000000000001</v>
      </c>
      <c r="I105" s="186">
        <f t="shared" si="10"/>
        <v>-7165.301</v>
      </c>
      <c r="J105" s="7"/>
      <c r="K105" s="19">
        <f t="shared" si="11"/>
        <v>56152.22500000001</v>
      </c>
      <c r="L105" s="51"/>
    </row>
    <row r="106" spans="1:12" ht="21.75">
      <c r="A106" s="237"/>
      <c r="B106" s="18"/>
      <c r="C106" s="103" t="s">
        <v>71</v>
      </c>
      <c r="D106" s="103" t="s">
        <v>17</v>
      </c>
      <c r="E106" s="111">
        <v>5000</v>
      </c>
      <c r="F106" s="104">
        <v>3.02</v>
      </c>
      <c r="G106" s="112">
        <f t="shared" si="9"/>
        <v>30.2</v>
      </c>
      <c r="H106" s="104">
        <f t="shared" si="8"/>
        <v>2.1140000000000003</v>
      </c>
      <c r="I106" s="112">
        <f t="shared" si="10"/>
        <v>-15132.314</v>
      </c>
      <c r="J106" s="7"/>
      <c r="K106" s="19">
        <f t="shared" si="11"/>
        <v>41019.911000000015</v>
      </c>
      <c r="L106" s="51"/>
    </row>
    <row r="107" spans="1:14" ht="21.75">
      <c r="A107" s="237"/>
      <c r="B107" s="18"/>
      <c r="C107" s="210" t="s">
        <v>41</v>
      </c>
      <c r="D107" s="210" t="s">
        <v>22</v>
      </c>
      <c r="E107" s="207">
        <v>1000</v>
      </c>
      <c r="F107" s="211">
        <v>14.9</v>
      </c>
      <c r="G107" s="208">
        <f t="shared" si="9"/>
        <v>29.8</v>
      </c>
      <c r="H107" s="211">
        <f t="shared" si="8"/>
        <v>2.0860000000000003</v>
      </c>
      <c r="I107" s="208">
        <f t="shared" si="10"/>
        <v>14868.114000000001</v>
      </c>
      <c r="J107" s="7"/>
      <c r="K107" s="358">
        <f>K106+I107+N107</f>
        <v>40888.025000000016</v>
      </c>
      <c r="L107" s="51"/>
      <c r="M107" s="357" t="s">
        <v>92</v>
      </c>
      <c r="N107" s="356">
        <v>-15000</v>
      </c>
    </row>
    <row r="108" spans="1:13" ht="22.5" thickBot="1">
      <c r="A108" s="238"/>
      <c r="B108" s="29"/>
      <c r="C108" s="246" t="s">
        <v>41</v>
      </c>
      <c r="D108" s="246" t="s">
        <v>17</v>
      </c>
      <c r="E108" s="247">
        <v>1000</v>
      </c>
      <c r="F108" s="248">
        <v>14.9</v>
      </c>
      <c r="G108" s="249">
        <f t="shared" si="9"/>
        <v>29.8</v>
      </c>
      <c r="H108" s="248">
        <f t="shared" si="8"/>
        <v>2.0860000000000003</v>
      </c>
      <c r="I108" s="249">
        <f t="shared" si="10"/>
        <v>-14931.885999999999</v>
      </c>
      <c r="J108" s="34"/>
      <c r="K108" s="35"/>
      <c r="L108" s="36"/>
      <c r="M108" s="262" t="s">
        <v>72</v>
      </c>
    </row>
    <row r="109" spans="1:13" ht="21.75">
      <c r="A109" s="6" t="s">
        <v>85</v>
      </c>
      <c r="B109" s="2"/>
      <c r="C109" s="293" t="s">
        <v>41</v>
      </c>
      <c r="D109" s="293" t="s">
        <v>22</v>
      </c>
      <c r="E109" s="294">
        <v>1000</v>
      </c>
      <c r="F109" s="295">
        <v>15.1</v>
      </c>
      <c r="G109" s="296">
        <f t="shared" si="9"/>
        <v>30.2</v>
      </c>
      <c r="H109" s="295">
        <f t="shared" si="8"/>
        <v>2.1140000000000003</v>
      </c>
      <c r="I109" s="296">
        <f t="shared" si="10"/>
        <v>15067.686</v>
      </c>
      <c r="J109" s="297">
        <f>SUM(I109:I111)</f>
        <v>-12932.1056</v>
      </c>
      <c r="K109" s="5"/>
      <c r="L109" s="7"/>
      <c r="M109" s="262" t="s">
        <v>72</v>
      </c>
    </row>
    <row r="110" spans="1:12" ht="21.75">
      <c r="A110" s="6"/>
      <c r="B110" s="2"/>
      <c r="C110" s="210" t="s">
        <v>41</v>
      </c>
      <c r="D110" s="210" t="s">
        <v>17</v>
      </c>
      <c r="E110" s="287">
        <v>1000</v>
      </c>
      <c r="F110" s="211">
        <v>14.8</v>
      </c>
      <c r="G110" s="288">
        <f t="shared" si="9"/>
        <v>29.6</v>
      </c>
      <c r="H110" s="211">
        <f t="shared" si="8"/>
        <v>2.0720000000000005</v>
      </c>
      <c r="I110" s="288">
        <f t="shared" si="10"/>
        <v>-14831.672</v>
      </c>
      <c r="J110" s="7"/>
      <c r="K110" s="5">
        <f>K107+I110</f>
        <v>26056.353000000017</v>
      </c>
      <c r="L110" s="7"/>
    </row>
    <row r="111" spans="1:14" ht="21.75">
      <c r="A111" s="9"/>
      <c r="B111" s="8"/>
      <c r="C111" s="289" t="s">
        <v>41</v>
      </c>
      <c r="D111" s="289" t="s">
        <v>17</v>
      </c>
      <c r="E111" s="290">
        <v>900</v>
      </c>
      <c r="F111" s="291">
        <v>14.6</v>
      </c>
      <c r="G111" s="292">
        <f t="shared" si="9"/>
        <v>26.28</v>
      </c>
      <c r="H111" s="291">
        <f t="shared" si="8"/>
        <v>1.8396000000000003</v>
      </c>
      <c r="I111" s="291">
        <f>IF(type="b",((vol*price)+com+vat)*(-1),IF(type="s",(vol*price)-com-vat,))</f>
        <v>-13168.1196</v>
      </c>
      <c r="J111" s="10"/>
      <c r="K111" s="359">
        <f>K110+I111+N111</f>
        <v>28023.23340000002</v>
      </c>
      <c r="L111" s="10"/>
      <c r="M111" s="360" t="s">
        <v>93</v>
      </c>
      <c r="N111" s="361">
        <v>15135</v>
      </c>
    </row>
    <row r="112" spans="7:11" ht="21.75">
      <c r="G112" s="16"/>
      <c r="H112" s="16"/>
      <c r="I112" s="16"/>
      <c r="K112" s="16"/>
    </row>
    <row r="113" spans="7:12" ht="21.75">
      <c r="G113" s="16"/>
      <c r="I113" s="16"/>
      <c r="L113" s="16"/>
    </row>
    <row r="114" spans="9:11" ht="21.75">
      <c r="I114" s="16"/>
      <c r="K114" s="16"/>
    </row>
    <row r="115" spans="5:11" ht="21.75">
      <c r="E115" s="16"/>
      <c r="I115" s="16"/>
      <c r="K115" s="16"/>
    </row>
    <row r="116" ht="21.75">
      <c r="K116" s="16"/>
    </row>
    <row r="124" spans="7:11" ht="21.75">
      <c r="G124" s="4"/>
      <c r="H124" s="3"/>
      <c r="I124" s="4"/>
      <c r="J124" s="4"/>
      <c r="K124" s="4"/>
    </row>
    <row r="125" ht="21.75">
      <c r="H125" s="1"/>
    </row>
    <row r="126" ht="21.75">
      <c r="H126" s="1"/>
    </row>
    <row r="127" ht="21.75">
      <c r="H127" s="1"/>
    </row>
    <row r="128" ht="21.75">
      <c r="H128" s="1"/>
    </row>
    <row r="129" ht="21.75">
      <c r="H129" s="1"/>
    </row>
    <row r="130" ht="21.75">
      <c r="H130" s="1"/>
    </row>
    <row r="131" ht="21.75">
      <c r="H131" s="1"/>
    </row>
  </sheetData>
  <mergeCells count="2">
    <mergeCell ref="A1:K1"/>
    <mergeCell ref="A7:L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59">
      <selection activeCell="M499" sqref="L499:M500"/>
    </sheetView>
  </sheetViews>
  <sheetFormatPr defaultColWidth="9.140625" defaultRowHeight="21.75"/>
  <cols>
    <col min="1" max="1" width="13.140625" style="0" customWidth="1"/>
    <col min="2" max="2" width="9.7109375" style="0" customWidth="1"/>
    <col min="3" max="3" width="8.7109375" style="0" customWidth="1"/>
    <col min="4" max="4" width="4.7109375" style="0" customWidth="1"/>
    <col min="5" max="5" width="9.7109375" style="0" customWidth="1"/>
    <col min="6" max="6" width="10.00390625" style="0" bestFit="1" customWidth="1"/>
    <col min="7" max="7" width="8.00390625" style="0" customWidth="1"/>
    <col min="8" max="8" width="7.7109375" style="0" customWidth="1"/>
    <col min="9" max="9" width="12.57421875" style="0" customWidth="1"/>
    <col min="10" max="10" width="13.00390625" style="0" customWidth="1"/>
    <col min="11" max="11" width="11.57421875" style="0" customWidth="1"/>
    <col min="12" max="12" width="9.8515625" style="0" customWidth="1"/>
    <col min="13" max="13" width="6.8515625" style="0" customWidth="1"/>
    <col min="14" max="14" width="9.8515625" style="0" customWidth="1"/>
  </cols>
  <sheetData>
    <row r="1" spans="1:12" ht="22.5" thickBot="1">
      <c r="A1" s="546" t="s">
        <v>58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8"/>
    </row>
    <row r="2" spans="1:12" ht="22.5" thickBot="1">
      <c r="A2" s="275" t="s">
        <v>73</v>
      </c>
      <c r="B2" s="275" t="s">
        <v>74</v>
      </c>
      <c r="C2" s="275" t="s">
        <v>75</v>
      </c>
      <c r="D2" s="275" t="s">
        <v>83</v>
      </c>
      <c r="E2" s="275" t="s">
        <v>76</v>
      </c>
      <c r="F2" s="275" t="s">
        <v>77</v>
      </c>
      <c r="G2" s="275" t="s">
        <v>78</v>
      </c>
      <c r="H2" s="275" t="s">
        <v>79</v>
      </c>
      <c r="I2" s="275" t="s">
        <v>80</v>
      </c>
      <c r="J2" s="275" t="s">
        <v>81</v>
      </c>
      <c r="K2" s="275" t="s">
        <v>100</v>
      </c>
      <c r="L2" s="275" t="s">
        <v>82</v>
      </c>
    </row>
    <row r="3" spans="1:12" ht="21.75">
      <c r="A3" s="258" t="s">
        <v>86</v>
      </c>
      <c r="B3" s="24"/>
      <c r="C3" s="303" t="s">
        <v>38</v>
      </c>
      <c r="D3" s="46" t="s">
        <v>22</v>
      </c>
      <c r="E3" s="304">
        <v>1200</v>
      </c>
      <c r="F3" s="305">
        <v>12</v>
      </c>
      <c r="G3" s="306">
        <f aca="true" t="shared" si="0" ref="G3:G66">จำนวน*ราคา*0.002</f>
        <v>28.8</v>
      </c>
      <c r="H3" s="307">
        <f aca="true" t="shared" si="1" ref="H3:H66">คอม*0.07</f>
        <v>2.0160000000000005</v>
      </c>
      <c r="I3" s="308">
        <f aca="true" t="shared" si="2" ref="I3:I66">IF(ซื้อขาย="b",((จำนวน*ราคา)+คอม+ภาษี)*(-1),IF(ซื้อขาย="s",(จำนวน*ราคา)-คอม-ภาษี,))</f>
        <v>14369.184000000001</v>
      </c>
      <c r="J3" s="299">
        <f>SUM(I3:I4)</f>
        <v>-7728.002999999997</v>
      </c>
      <c r="K3" s="298">
        <f>28023.03+I3</f>
        <v>42392.214</v>
      </c>
      <c r="L3" s="316">
        <f>-14161.35+14369.18</f>
        <v>207.82999999999993</v>
      </c>
    </row>
    <row r="4" spans="1:12" ht="22.5" thickBot="1">
      <c r="A4" s="260"/>
      <c r="B4" s="28"/>
      <c r="C4" s="309" t="s">
        <v>46</v>
      </c>
      <c r="D4" s="310" t="s">
        <v>17</v>
      </c>
      <c r="E4" s="311">
        <v>1500</v>
      </c>
      <c r="F4" s="312">
        <v>14.7</v>
      </c>
      <c r="G4" s="313">
        <f t="shared" si="0"/>
        <v>44.1</v>
      </c>
      <c r="H4" s="313">
        <f t="shared" si="1"/>
        <v>3.087</v>
      </c>
      <c r="I4" s="314">
        <f t="shared" si="2"/>
        <v>-22097.186999999998</v>
      </c>
      <c r="J4" s="300"/>
      <c r="K4" s="301">
        <f aca="true" t="shared" si="3" ref="K4:K67">K3+I4</f>
        <v>20295.027000000002</v>
      </c>
      <c r="L4" s="302"/>
    </row>
    <row r="5" spans="1:12" ht="22.5" thickBot="1">
      <c r="A5" s="317" t="s">
        <v>87</v>
      </c>
      <c r="B5" s="37"/>
      <c r="C5" s="321" t="s">
        <v>88</v>
      </c>
      <c r="D5" s="322" t="s">
        <v>17</v>
      </c>
      <c r="E5" s="323">
        <v>800</v>
      </c>
      <c r="F5" s="324">
        <v>22.7</v>
      </c>
      <c r="G5" s="325">
        <f t="shared" si="0"/>
        <v>36.32</v>
      </c>
      <c r="H5" s="325">
        <f t="shared" si="1"/>
        <v>2.5424</v>
      </c>
      <c r="I5" s="326">
        <f t="shared" si="2"/>
        <v>-18198.862399999998</v>
      </c>
      <c r="J5" s="318">
        <f>I5</f>
        <v>-18198.862399999998</v>
      </c>
      <c r="K5" s="319">
        <f t="shared" si="3"/>
        <v>2096.1646000000037</v>
      </c>
      <c r="L5" s="320"/>
    </row>
    <row r="6" spans="1:14" ht="21.75">
      <c r="A6" s="258" t="s">
        <v>89</v>
      </c>
      <c r="B6" s="24"/>
      <c r="C6" s="332" t="s">
        <v>61</v>
      </c>
      <c r="D6" s="333" t="s">
        <v>22</v>
      </c>
      <c r="E6" s="334">
        <v>1300</v>
      </c>
      <c r="F6" s="335">
        <v>4.7</v>
      </c>
      <c r="G6" s="336">
        <f t="shared" si="0"/>
        <v>12.22</v>
      </c>
      <c r="H6" s="335">
        <f t="shared" si="1"/>
        <v>0.8554000000000002</v>
      </c>
      <c r="I6" s="337">
        <f t="shared" si="2"/>
        <v>6096.924599999999</v>
      </c>
      <c r="J6" s="338">
        <f>SUM(I6:I8)</f>
        <v>5713.433599999999</v>
      </c>
      <c r="K6" s="298">
        <f t="shared" si="3"/>
        <v>8193.089200000002</v>
      </c>
      <c r="L6" s="339">
        <f>I6-7165.3</f>
        <v>-1068.3754000000008</v>
      </c>
      <c r="N6" s="16"/>
    </row>
    <row r="7" spans="1:12" ht="21.75">
      <c r="A7" s="259"/>
      <c r="B7" s="6"/>
      <c r="C7" s="327" t="s">
        <v>90</v>
      </c>
      <c r="D7" s="328" t="s">
        <v>17</v>
      </c>
      <c r="E7" s="329">
        <v>400</v>
      </c>
      <c r="F7" s="330">
        <v>20</v>
      </c>
      <c r="G7" s="330">
        <f t="shared" si="0"/>
        <v>16</v>
      </c>
      <c r="H7" s="330">
        <f t="shared" si="1"/>
        <v>1.12</v>
      </c>
      <c r="I7" s="331">
        <f t="shared" si="2"/>
        <v>-8017.12</v>
      </c>
      <c r="J7" s="273"/>
      <c r="K7" s="274">
        <f t="shared" si="3"/>
        <v>175.96920000000227</v>
      </c>
      <c r="L7" s="340"/>
    </row>
    <row r="8" spans="1:12" ht="22.5" thickBot="1">
      <c r="A8" s="260"/>
      <c r="B8" s="28"/>
      <c r="C8" s="309" t="s">
        <v>46</v>
      </c>
      <c r="D8" s="310" t="s">
        <v>22</v>
      </c>
      <c r="E8" s="311">
        <v>500</v>
      </c>
      <c r="F8" s="313">
        <v>15.3</v>
      </c>
      <c r="G8" s="313">
        <f t="shared" si="0"/>
        <v>15.3</v>
      </c>
      <c r="H8" s="313">
        <f t="shared" si="1"/>
        <v>1.0710000000000002</v>
      </c>
      <c r="I8" s="314">
        <f t="shared" si="2"/>
        <v>7633.629</v>
      </c>
      <c r="J8" s="300"/>
      <c r="K8" s="301">
        <f t="shared" si="3"/>
        <v>7809.598200000002</v>
      </c>
      <c r="L8" s="302"/>
    </row>
    <row r="9" spans="1:12" ht="21.75">
      <c r="A9" s="258" t="s">
        <v>91</v>
      </c>
      <c r="B9" s="24"/>
      <c r="C9" s="345" t="s">
        <v>46</v>
      </c>
      <c r="D9" s="346" t="s">
        <v>22</v>
      </c>
      <c r="E9" s="347">
        <v>1000</v>
      </c>
      <c r="F9" s="348">
        <v>15.9</v>
      </c>
      <c r="G9" s="349">
        <f t="shared" si="0"/>
        <v>31.8</v>
      </c>
      <c r="H9" s="348">
        <f t="shared" si="1"/>
        <v>2.2260000000000004</v>
      </c>
      <c r="I9" s="350">
        <f t="shared" si="2"/>
        <v>15865.974</v>
      </c>
      <c r="J9" s="338">
        <f>SUM(I9:I11)</f>
        <v>44005.626000000004</v>
      </c>
      <c r="K9" s="298">
        <f t="shared" si="3"/>
        <v>23675.572200000002</v>
      </c>
      <c r="L9" s="351">
        <f>I4+I8+I9</f>
        <v>1402.416000000003</v>
      </c>
    </row>
    <row r="10" spans="1:12" ht="21.75">
      <c r="A10" s="259"/>
      <c r="B10" s="6"/>
      <c r="C10" s="341" t="s">
        <v>41</v>
      </c>
      <c r="D10" s="210" t="s">
        <v>22</v>
      </c>
      <c r="E10" s="342">
        <v>1000</v>
      </c>
      <c r="F10" s="343">
        <v>14.2</v>
      </c>
      <c r="G10" s="343">
        <f t="shared" si="0"/>
        <v>28.400000000000002</v>
      </c>
      <c r="H10" s="343">
        <f t="shared" si="1"/>
        <v>1.9880000000000004</v>
      </c>
      <c r="I10" s="344">
        <f t="shared" si="2"/>
        <v>14169.612000000001</v>
      </c>
      <c r="J10" s="273"/>
      <c r="K10" s="274">
        <f t="shared" si="3"/>
        <v>37845.1842</v>
      </c>
      <c r="L10" s="340"/>
    </row>
    <row r="11" spans="1:12" ht="22.5" thickBot="1">
      <c r="A11" s="260"/>
      <c r="B11" s="28"/>
      <c r="C11" s="352" t="s">
        <v>41</v>
      </c>
      <c r="D11" s="197" t="s">
        <v>22</v>
      </c>
      <c r="E11" s="353">
        <v>1000</v>
      </c>
      <c r="F11" s="354">
        <v>14</v>
      </c>
      <c r="G11" s="354">
        <f t="shared" si="0"/>
        <v>28</v>
      </c>
      <c r="H11" s="354">
        <f t="shared" si="1"/>
        <v>1.9600000000000002</v>
      </c>
      <c r="I11" s="355">
        <f t="shared" si="2"/>
        <v>13970.04</v>
      </c>
      <c r="J11" s="300"/>
      <c r="K11" s="301">
        <f t="shared" si="3"/>
        <v>51815.224200000004</v>
      </c>
      <c r="L11" s="302"/>
    </row>
    <row r="12" spans="1:12" ht="22.5" thickBot="1">
      <c r="A12" s="317" t="s">
        <v>94</v>
      </c>
      <c r="B12" s="37"/>
      <c r="C12" s="362" t="s">
        <v>95</v>
      </c>
      <c r="D12" s="217" t="s">
        <v>17</v>
      </c>
      <c r="E12" s="363">
        <v>700</v>
      </c>
      <c r="F12" s="364">
        <v>30.5</v>
      </c>
      <c r="G12" s="365">
        <f t="shared" si="0"/>
        <v>42.7</v>
      </c>
      <c r="H12" s="364">
        <f t="shared" si="1"/>
        <v>2.9890000000000003</v>
      </c>
      <c r="I12" s="366">
        <f t="shared" si="2"/>
        <v>-21395.689000000002</v>
      </c>
      <c r="J12" s="318">
        <f>I12</f>
        <v>-21395.689000000002</v>
      </c>
      <c r="K12" s="319">
        <f t="shared" si="3"/>
        <v>30419.535200000002</v>
      </c>
      <c r="L12" s="320"/>
    </row>
    <row r="13" spans="1:12" ht="21.75">
      <c r="A13" s="258" t="s">
        <v>96</v>
      </c>
      <c r="B13" s="24"/>
      <c r="C13" s="367" t="s">
        <v>71</v>
      </c>
      <c r="D13" s="117" t="s">
        <v>22</v>
      </c>
      <c r="E13" s="368">
        <v>5000</v>
      </c>
      <c r="F13" s="369">
        <v>3.06</v>
      </c>
      <c r="G13" s="369">
        <f t="shared" si="0"/>
        <v>30.6</v>
      </c>
      <c r="H13" s="369">
        <f t="shared" si="1"/>
        <v>2.1420000000000003</v>
      </c>
      <c r="I13" s="370">
        <f t="shared" si="2"/>
        <v>15267.258</v>
      </c>
      <c r="J13" s="338">
        <f>SUM(I13:I14)</f>
        <v>6197.891</v>
      </c>
      <c r="K13" s="298">
        <f t="shared" si="3"/>
        <v>45686.7932</v>
      </c>
      <c r="L13" s="371">
        <f>-15132.31+I13</f>
        <v>134.94800000000032</v>
      </c>
    </row>
    <row r="14" spans="1:12" ht="22.5" thickBot="1">
      <c r="A14" s="260"/>
      <c r="B14" s="28"/>
      <c r="C14" s="372" t="s">
        <v>97</v>
      </c>
      <c r="D14" s="373" t="s">
        <v>17</v>
      </c>
      <c r="E14" s="374">
        <v>1000</v>
      </c>
      <c r="F14" s="375">
        <v>9.05</v>
      </c>
      <c r="G14" s="375">
        <f t="shared" si="0"/>
        <v>18.1</v>
      </c>
      <c r="H14" s="375">
        <f t="shared" si="1"/>
        <v>1.2670000000000001</v>
      </c>
      <c r="I14" s="376">
        <f t="shared" si="2"/>
        <v>-9069.367</v>
      </c>
      <c r="J14" s="300"/>
      <c r="K14" s="301">
        <f t="shared" si="3"/>
        <v>36617.4262</v>
      </c>
      <c r="L14" s="302"/>
    </row>
    <row r="15" spans="1:12" ht="21.75">
      <c r="A15" s="258" t="s">
        <v>98</v>
      </c>
      <c r="B15" s="24"/>
      <c r="C15" s="377" t="s">
        <v>97</v>
      </c>
      <c r="D15" s="378" t="s">
        <v>22</v>
      </c>
      <c r="E15" s="379">
        <v>1000</v>
      </c>
      <c r="F15" s="380">
        <v>9.2</v>
      </c>
      <c r="G15" s="381">
        <f t="shared" si="0"/>
        <v>18.400000000000002</v>
      </c>
      <c r="H15" s="380">
        <f t="shared" si="1"/>
        <v>1.2880000000000003</v>
      </c>
      <c r="I15" s="382">
        <f t="shared" si="2"/>
        <v>9180.312</v>
      </c>
      <c r="J15" s="338">
        <f>SUM(I15:I16)</f>
        <v>261.26600000000144</v>
      </c>
      <c r="K15" s="298">
        <f t="shared" si="3"/>
        <v>45797.7382</v>
      </c>
      <c r="L15" s="383">
        <f>SUM(I14:I15)</f>
        <v>110.94499999999971</v>
      </c>
    </row>
    <row r="16" spans="1:12" ht="22.5" thickBot="1">
      <c r="A16" s="260"/>
      <c r="B16" s="28"/>
      <c r="C16" s="384" t="s">
        <v>99</v>
      </c>
      <c r="D16" s="385" t="s">
        <v>17</v>
      </c>
      <c r="E16" s="386">
        <v>1000</v>
      </c>
      <c r="F16" s="387">
        <v>8.9</v>
      </c>
      <c r="G16" s="387">
        <f t="shared" si="0"/>
        <v>17.8</v>
      </c>
      <c r="H16" s="387">
        <f t="shared" si="1"/>
        <v>1.2460000000000002</v>
      </c>
      <c r="I16" s="388">
        <f t="shared" si="2"/>
        <v>-8919.045999999998</v>
      </c>
      <c r="J16" s="300"/>
      <c r="K16" s="301">
        <f t="shared" si="3"/>
        <v>36878.692200000005</v>
      </c>
      <c r="L16" s="302"/>
    </row>
    <row r="17" spans="1:12" ht="21.75">
      <c r="A17" s="258" t="s">
        <v>102</v>
      </c>
      <c r="B17" s="24"/>
      <c r="C17" s="389" t="s">
        <v>95</v>
      </c>
      <c r="D17" s="105" t="s">
        <v>17</v>
      </c>
      <c r="E17" s="390">
        <v>300</v>
      </c>
      <c r="F17" s="391">
        <v>28.75</v>
      </c>
      <c r="G17" s="391">
        <f t="shared" si="0"/>
        <v>17.25</v>
      </c>
      <c r="H17" s="391">
        <f t="shared" si="1"/>
        <v>1.2075</v>
      </c>
      <c r="I17" s="392">
        <f t="shared" si="2"/>
        <v>-8643.4575</v>
      </c>
      <c r="J17" s="338">
        <f>SUM(I17:I18)</f>
        <v>-17061.4335</v>
      </c>
      <c r="K17" s="298">
        <f t="shared" si="3"/>
        <v>28235.234700000005</v>
      </c>
      <c r="L17" s="393"/>
    </row>
    <row r="18" spans="1:12" ht="22.5" thickBot="1">
      <c r="A18" s="260"/>
      <c r="B18" s="28"/>
      <c r="C18" s="216" t="s">
        <v>95</v>
      </c>
      <c r="D18" s="153" t="s">
        <v>17</v>
      </c>
      <c r="E18" s="394">
        <v>300</v>
      </c>
      <c r="F18" s="395">
        <v>28</v>
      </c>
      <c r="G18" s="396">
        <f t="shared" si="0"/>
        <v>16.8</v>
      </c>
      <c r="H18" s="395">
        <f t="shared" si="1"/>
        <v>1.1760000000000002</v>
      </c>
      <c r="I18" s="397">
        <f t="shared" si="2"/>
        <v>-8417.975999999999</v>
      </c>
      <c r="J18" s="300"/>
      <c r="K18" s="301">
        <f t="shared" si="3"/>
        <v>19817.258700000006</v>
      </c>
      <c r="L18" s="302"/>
    </row>
    <row r="19" spans="1:12" ht="22.5" thickBot="1">
      <c r="A19" s="317" t="s">
        <v>103</v>
      </c>
      <c r="B19" s="37"/>
      <c r="C19" s="398" t="s">
        <v>99</v>
      </c>
      <c r="D19" s="399" t="s">
        <v>22</v>
      </c>
      <c r="E19" s="400">
        <v>1000</v>
      </c>
      <c r="F19" s="401">
        <v>8.85</v>
      </c>
      <c r="G19" s="401">
        <f t="shared" si="0"/>
        <v>17.7</v>
      </c>
      <c r="H19" s="401">
        <f t="shared" si="1"/>
        <v>1.239</v>
      </c>
      <c r="I19" s="402">
        <f t="shared" si="2"/>
        <v>8831.061</v>
      </c>
      <c r="J19" s="318">
        <f>I19</f>
        <v>8831.061</v>
      </c>
      <c r="K19" s="319">
        <f t="shared" si="3"/>
        <v>28648.319700000007</v>
      </c>
      <c r="L19" s="403">
        <f>I16+I19</f>
        <v>-87.98499999999876</v>
      </c>
    </row>
    <row r="20" spans="1:12" ht="21.75">
      <c r="A20" s="258" t="s">
        <v>104</v>
      </c>
      <c r="B20" s="24"/>
      <c r="C20" s="409" t="s">
        <v>88</v>
      </c>
      <c r="D20" s="179" t="s">
        <v>17</v>
      </c>
      <c r="E20" s="410">
        <v>1000</v>
      </c>
      <c r="F20" s="411">
        <v>20.5</v>
      </c>
      <c r="G20" s="411">
        <f t="shared" si="0"/>
        <v>41</v>
      </c>
      <c r="H20" s="411">
        <f t="shared" si="1"/>
        <v>2.87</v>
      </c>
      <c r="I20" s="412">
        <f t="shared" si="2"/>
        <v>-20543.87</v>
      </c>
      <c r="J20" s="338">
        <f>SUM(I20:I22)</f>
        <v>-5700.151999999997</v>
      </c>
      <c r="K20" s="298">
        <f t="shared" si="3"/>
        <v>8104.449700000008</v>
      </c>
      <c r="L20" s="393"/>
    </row>
    <row r="21" spans="1:12" ht="21.75">
      <c r="A21" s="259"/>
      <c r="B21" s="6"/>
      <c r="C21" s="404" t="s">
        <v>88</v>
      </c>
      <c r="D21" s="69" t="s">
        <v>22</v>
      </c>
      <c r="E21" s="405">
        <v>1000</v>
      </c>
      <c r="F21" s="406">
        <v>20.6</v>
      </c>
      <c r="G21" s="408">
        <f t="shared" si="0"/>
        <v>41.2</v>
      </c>
      <c r="H21" s="406">
        <f t="shared" si="1"/>
        <v>2.8840000000000003</v>
      </c>
      <c r="I21" s="407">
        <f t="shared" si="2"/>
        <v>20555.916</v>
      </c>
      <c r="J21" s="273"/>
      <c r="K21" s="274">
        <f t="shared" si="3"/>
        <v>28660.36570000001</v>
      </c>
      <c r="L21" s="340"/>
    </row>
    <row r="22" spans="1:14" ht="22.5" thickBot="1">
      <c r="A22" s="260"/>
      <c r="B22" s="28"/>
      <c r="C22" s="216" t="s">
        <v>95</v>
      </c>
      <c r="D22" s="153" t="s">
        <v>17</v>
      </c>
      <c r="E22" s="394">
        <v>200</v>
      </c>
      <c r="F22" s="395">
        <v>28.5</v>
      </c>
      <c r="G22" s="395">
        <f t="shared" si="0"/>
        <v>11.4</v>
      </c>
      <c r="H22" s="395">
        <f t="shared" si="1"/>
        <v>0.7980000000000002</v>
      </c>
      <c r="I22" s="397">
        <f t="shared" si="2"/>
        <v>-5712.197999999999</v>
      </c>
      <c r="J22" s="300"/>
      <c r="K22" s="301">
        <f t="shared" si="3"/>
        <v>22948.16770000001</v>
      </c>
      <c r="L22" s="302"/>
      <c r="N22" s="16"/>
    </row>
    <row r="23" spans="1:12" ht="22.5" thickBot="1">
      <c r="A23" s="317" t="s">
        <v>105</v>
      </c>
      <c r="B23" s="37"/>
      <c r="C23" s="413" t="s">
        <v>106</v>
      </c>
      <c r="D23" s="252" t="s">
        <v>17</v>
      </c>
      <c r="E23" s="414">
        <v>400</v>
      </c>
      <c r="F23" s="415">
        <v>53</v>
      </c>
      <c r="G23" s="415">
        <f t="shared" si="0"/>
        <v>42.4</v>
      </c>
      <c r="H23" s="415">
        <f t="shared" si="1"/>
        <v>2.968</v>
      </c>
      <c r="I23" s="416">
        <f t="shared" si="2"/>
        <v>-21245.368000000002</v>
      </c>
      <c r="J23" s="318">
        <f>I23</f>
        <v>-21245.368000000002</v>
      </c>
      <c r="K23" s="319">
        <f t="shared" si="3"/>
        <v>1702.7997000000069</v>
      </c>
      <c r="L23" s="320"/>
    </row>
    <row r="24" spans="1:12" ht="21.75">
      <c r="A24" s="258" t="s">
        <v>107</v>
      </c>
      <c r="B24" s="24"/>
      <c r="C24" s="389" t="s">
        <v>95</v>
      </c>
      <c r="D24" s="105" t="s">
        <v>22</v>
      </c>
      <c r="E24" s="390">
        <v>500</v>
      </c>
      <c r="F24" s="391">
        <v>31.5</v>
      </c>
      <c r="G24" s="417">
        <f t="shared" si="0"/>
        <v>31.5</v>
      </c>
      <c r="H24" s="391">
        <f t="shared" si="1"/>
        <v>2.205</v>
      </c>
      <c r="I24" s="392">
        <f t="shared" si="2"/>
        <v>15716.295</v>
      </c>
      <c r="J24" s="338">
        <f>SUM(I24:I25)</f>
        <v>308.3924999999999</v>
      </c>
      <c r="K24" s="298">
        <f t="shared" si="3"/>
        <v>17419.09470000001</v>
      </c>
      <c r="L24" s="393"/>
    </row>
    <row r="25" spans="1:12" ht="22.5" thickBot="1">
      <c r="A25" s="260"/>
      <c r="B25" s="28"/>
      <c r="C25" s="216" t="s">
        <v>95</v>
      </c>
      <c r="D25" s="153" t="s">
        <v>17</v>
      </c>
      <c r="E25" s="394">
        <v>500</v>
      </c>
      <c r="F25" s="395">
        <v>30.75</v>
      </c>
      <c r="G25" s="395">
        <f t="shared" si="0"/>
        <v>30.75</v>
      </c>
      <c r="H25" s="395">
        <f t="shared" si="1"/>
        <v>2.1525000000000003</v>
      </c>
      <c r="I25" s="397">
        <f t="shared" si="2"/>
        <v>-15407.9025</v>
      </c>
      <c r="J25" s="300"/>
      <c r="K25" s="301">
        <f t="shared" si="3"/>
        <v>2011.1922000000086</v>
      </c>
      <c r="L25" s="302"/>
    </row>
    <row r="26" spans="1:12" ht="22.5" thickBot="1">
      <c r="A26" s="317" t="s">
        <v>108</v>
      </c>
      <c r="B26" s="37"/>
      <c r="C26" s="413" t="s">
        <v>106</v>
      </c>
      <c r="D26" s="252" t="s">
        <v>22</v>
      </c>
      <c r="E26" s="414">
        <v>200</v>
      </c>
      <c r="F26" s="415">
        <v>51.5</v>
      </c>
      <c r="G26" s="415">
        <f t="shared" si="0"/>
        <v>20.6</v>
      </c>
      <c r="H26" s="415">
        <f t="shared" si="1"/>
        <v>1.4420000000000002</v>
      </c>
      <c r="I26" s="416">
        <f t="shared" si="2"/>
        <v>10277.958</v>
      </c>
      <c r="J26" s="318">
        <f>I26</f>
        <v>10277.958</v>
      </c>
      <c r="K26" s="319">
        <f t="shared" si="3"/>
        <v>12289.15020000001</v>
      </c>
      <c r="L26" s="320"/>
    </row>
    <row r="27" spans="1:12" ht="21.75">
      <c r="A27" s="258" t="s">
        <v>109</v>
      </c>
      <c r="B27" s="24"/>
      <c r="C27" s="418" t="s">
        <v>106</v>
      </c>
      <c r="D27" s="192" t="s">
        <v>22</v>
      </c>
      <c r="E27" s="419">
        <v>200</v>
      </c>
      <c r="F27" s="420">
        <v>58</v>
      </c>
      <c r="G27" s="421">
        <f t="shared" si="0"/>
        <v>23.2</v>
      </c>
      <c r="H27" s="420">
        <f t="shared" si="1"/>
        <v>1.624</v>
      </c>
      <c r="I27" s="422">
        <f t="shared" si="2"/>
        <v>11575.176</v>
      </c>
      <c r="J27" s="338">
        <f>SUM(I27:I28)</f>
        <v>-550.7180000000008</v>
      </c>
      <c r="K27" s="298">
        <f t="shared" si="3"/>
        <v>23864.32620000001</v>
      </c>
      <c r="L27" s="423">
        <f>I23+I26+I27</f>
        <v>607.7659999999978</v>
      </c>
    </row>
    <row r="28" spans="1:12" ht="22.5" thickBot="1">
      <c r="A28" s="260"/>
      <c r="B28" s="28"/>
      <c r="C28" s="216" t="s">
        <v>95</v>
      </c>
      <c r="D28" s="153" t="s">
        <v>17</v>
      </c>
      <c r="E28" s="394">
        <v>400</v>
      </c>
      <c r="F28" s="395">
        <v>30.25</v>
      </c>
      <c r="G28" s="395">
        <f t="shared" si="0"/>
        <v>24.2</v>
      </c>
      <c r="H28" s="395">
        <f t="shared" si="1"/>
        <v>1.6940000000000002</v>
      </c>
      <c r="I28" s="397">
        <f t="shared" si="2"/>
        <v>-12125.894</v>
      </c>
      <c r="J28" s="300"/>
      <c r="K28" s="301">
        <f t="shared" si="3"/>
        <v>11738.43220000001</v>
      </c>
      <c r="L28" s="302"/>
    </row>
    <row r="29" spans="1:14" ht="21.75">
      <c r="A29" s="258" t="s">
        <v>110</v>
      </c>
      <c r="B29" s="24"/>
      <c r="C29" s="389" t="s">
        <v>95</v>
      </c>
      <c r="D29" s="105" t="s">
        <v>22</v>
      </c>
      <c r="E29" s="390">
        <v>800</v>
      </c>
      <c r="F29" s="391">
        <v>31.5</v>
      </c>
      <c r="G29" s="391">
        <f t="shared" si="0"/>
        <v>50.4</v>
      </c>
      <c r="H29" s="391">
        <f t="shared" si="1"/>
        <v>3.528</v>
      </c>
      <c r="I29" s="392">
        <f t="shared" si="2"/>
        <v>25146.072</v>
      </c>
      <c r="J29" s="338">
        <f>SUM(I29:I30)</f>
        <v>33927.24</v>
      </c>
      <c r="K29" s="298">
        <f t="shared" si="3"/>
        <v>36884.50420000001</v>
      </c>
      <c r="L29" s="393"/>
      <c r="N29" s="16"/>
    </row>
    <row r="30" spans="1:12" ht="22.5" thickBot="1">
      <c r="A30" s="260"/>
      <c r="B30" s="28"/>
      <c r="C30" s="424" t="s">
        <v>90</v>
      </c>
      <c r="D30" s="121" t="s">
        <v>22</v>
      </c>
      <c r="E30" s="425">
        <v>400</v>
      </c>
      <c r="F30" s="426">
        <v>22</v>
      </c>
      <c r="G30" s="427">
        <f t="shared" si="0"/>
        <v>17.6</v>
      </c>
      <c r="H30" s="426">
        <f t="shared" si="1"/>
        <v>1.2320000000000002</v>
      </c>
      <c r="I30" s="428">
        <f t="shared" si="2"/>
        <v>8781.168</v>
      </c>
      <c r="J30" s="300"/>
      <c r="K30" s="301">
        <f t="shared" si="3"/>
        <v>45665.67220000001</v>
      </c>
      <c r="L30" s="429">
        <f>I7+I30</f>
        <v>764.0479999999998</v>
      </c>
    </row>
    <row r="31" spans="1:12" ht="22.5" thickBot="1">
      <c r="A31" s="317" t="s">
        <v>111</v>
      </c>
      <c r="B31" s="37"/>
      <c r="C31" s="362" t="s">
        <v>95</v>
      </c>
      <c r="D31" s="217" t="s">
        <v>22</v>
      </c>
      <c r="E31" s="363">
        <v>500</v>
      </c>
      <c r="F31" s="364">
        <v>34</v>
      </c>
      <c r="G31" s="364">
        <f t="shared" si="0"/>
        <v>34</v>
      </c>
      <c r="H31" s="364">
        <f t="shared" si="1"/>
        <v>2.3800000000000003</v>
      </c>
      <c r="I31" s="366">
        <f t="shared" si="2"/>
        <v>16963.62</v>
      </c>
      <c r="J31" s="318">
        <f>I31</f>
        <v>16963.62</v>
      </c>
      <c r="K31" s="319">
        <f t="shared" si="3"/>
        <v>62629.29220000001</v>
      </c>
      <c r="L31" s="320"/>
    </row>
    <row r="32" spans="1:12" ht="21.75">
      <c r="A32" s="258" t="s">
        <v>112</v>
      </c>
      <c r="B32" s="24"/>
      <c r="C32" s="345" t="s">
        <v>113</v>
      </c>
      <c r="D32" s="346" t="s">
        <v>17</v>
      </c>
      <c r="E32" s="347">
        <v>500</v>
      </c>
      <c r="F32" s="348">
        <v>26.5</v>
      </c>
      <c r="G32" s="348">
        <f t="shared" si="0"/>
        <v>26.5</v>
      </c>
      <c r="H32" s="348">
        <f t="shared" si="1"/>
        <v>1.8550000000000002</v>
      </c>
      <c r="I32" s="350">
        <f t="shared" si="2"/>
        <v>-13278.355</v>
      </c>
      <c r="J32" s="338">
        <f>SUM(I32:I34)</f>
        <v>-35200.1675</v>
      </c>
      <c r="K32" s="298">
        <f t="shared" si="3"/>
        <v>49350.937200000015</v>
      </c>
      <c r="L32" s="393"/>
    </row>
    <row r="33" spans="1:12" ht="21.75">
      <c r="A33" s="259"/>
      <c r="B33" s="6"/>
      <c r="C33" s="430" t="s">
        <v>113</v>
      </c>
      <c r="D33" s="431" t="s">
        <v>17</v>
      </c>
      <c r="E33" s="432">
        <v>500</v>
      </c>
      <c r="F33" s="433">
        <v>25.75</v>
      </c>
      <c r="G33" s="435">
        <f t="shared" si="0"/>
        <v>25.75</v>
      </c>
      <c r="H33" s="433">
        <f t="shared" si="1"/>
        <v>1.8025000000000002</v>
      </c>
      <c r="I33" s="434">
        <f t="shared" si="2"/>
        <v>-12902.5525</v>
      </c>
      <c r="J33" s="273"/>
      <c r="K33" s="274">
        <f t="shared" si="3"/>
        <v>36448.38470000002</v>
      </c>
      <c r="L33" s="340"/>
    </row>
    <row r="34" spans="1:12" ht="22.5" thickBot="1">
      <c r="A34" s="260"/>
      <c r="B34" s="28"/>
      <c r="C34" s="232" t="s">
        <v>99</v>
      </c>
      <c r="D34" s="91" t="s">
        <v>17</v>
      </c>
      <c r="E34" s="436">
        <v>1000</v>
      </c>
      <c r="F34" s="437">
        <v>9</v>
      </c>
      <c r="G34" s="437">
        <f t="shared" si="0"/>
        <v>18</v>
      </c>
      <c r="H34" s="437">
        <f t="shared" si="1"/>
        <v>1.2600000000000002</v>
      </c>
      <c r="I34" s="438">
        <f t="shared" si="2"/>
        <v>-9019.26</v>
      </c>
      <c r="J34" s="300"/>
      <c r="K34" s="301">
        <f t="shared" si="3"/>
        <v>27429.124700000015</v>
      </c>
      <c r="L34" s="302"/>
    </row>
    <row r="35" spans="1:12" ht="22.5" thickBot="1">
      <c r="A35" s="317" t="s">
        <v>114</v>
      </c>
      <c r="B35" s="37"/>
      <c r="C35" s="439" t="s">
        <v>113</v>
      </c>
      <c r="D35" s="440" t="s">
        <v>22</v>
      </c>
      <c r="E35" s="441">
        <v>100</v>
      </c>
      <c r="F35" s="442">
        <v>26</v>
      </c>
      <c r="G35" s="442">
        <f t="shared" si="0"/>
        <v>5.2</v>
      </c>
      <c r="H35" s="442">
        <f t="shared" si="1"/>
        <v>0.36400000000000005</v>
      </c>
      <c r="I35" s="443">
        <f t="shared" si="2"/>
        <v>2594.436</v>
      </c>
      <c r="J35" s="318">
        <f>I35</f>
        <v>2594.436</v>
      </c>
      <c r="K35" s="319">
        <f t="shared" si="3"/>
        <v>30023.560700000016</v>
      </c>
      <c r="L35" s="320"/>
    </row>
    <row r="36" spans="1:12" ht="21.75">
      <c r="A36" s="258" t="s">
        <v>115</v>
      </c>
      <c r="B36" s="24"/>
      <c r="C36" s="345" t="s">
        <v>113</v>
      </c>
      <c r="D36" s="346" t="s">
        <v>22</v>
      </c>
      <c r="E36" s="347">
        <v>600</v>
      </c>
      <c r="F36" s="348">
        <v>25.5</v>
      </c>
      <c r="G36" s="349">
        <f t="shared" si="0"/>
        <v>30.6</v>
      </c>
      <c r="H36" s="348">
        <f t="shared" si="1"/>
        <v>2.1420000000000003</v>
      </c>
      <c r="I36" s="350">
        <f t="shared" si="2"/>
        <v>15267.258</v>
      </c>
      <c r="J36" s="338">
        <f>SUM(I36:I38)</f>
        <v>23175.2985</v>
      </c>
      <c r="K36" s="298">
        <f t="shared" si="3"/>
        <v>45290.81870000002</v>
      </c>
      <c r="L36" s="393"/>
    </row>
    <row r="37" spans="1:12" ht="21.75">
      <c r="A37" s="259"/>
      <c r="B37" s="6"/>
      <c r="C37" s="430" t="s">
        <v>113</v>
      </c>
      <c r="D37" s="431" t="s">
        <v>22</v>
      </c>
      <c r="E37" s="432">
        <v>200</v>
      </c>
      <c r="F37" s="433">
        <v>26.25</v>
      </c>
      <c r="G37" s="433">
        <f t="shared" si="0"/>
        <v>10.5</v>
      </c>
      <c r="H37" s="433">
        <f t="shared" si="1"/>
        <v>0.7350000000000001</v>
      </c>
      <c r="I37" s="434">
        <f t="shared" si="2"/>
        <v>5238.765</v>
      </c>
      <c r="J37" s="273"/>
      <c r="K37" s="274">
        <f t="shared" si="3"/>
        <v>50529.58370000002</v>
      </c>
      <c r="L37" s="340"/>
    </row>
    <row r="38" spans="1:12" ht="22.5" thickBot="1">
      <c r="A38" s="260"/>
      <c r="B38" s="28"/>
      <c r="C38" s="309" t="s">
        <v>113</v>
      </c>
      <c r="D38" s="310" t="s">
        <v>22</v>
      </c>
      <c r="E38" s="311">
        <v>100</v>
      </c>
      <c r="F38" s="313">
        <v>26.75</v>
      </c>
      <c r="G38" s="313">
        <f t="shared" si="0"/>
        <v>5.3500000000000005</v>
      </c>
      <c r="H38" s="313">
        <f t="shared" si="1"/>
        <v>0.37450000000000006</v>
      </c>
      <c r="I38" s="314">
        <f t="shared" si="2"/>
        <v>2669.2755</v>
      </c>
      <c r="J38" s="300"/>
      <c r="K38" s="301">
        <f t="shared" si="3"/>
        <v>53198.85920000002</v>
      </c>
      <c r="L38" s="444">
        <f>SUM(I32:I33)+SUM(I35:I38)</f>
        <v>-411.1730000000025</v>
      </c>
    </row>
    <row r="39" spans="1:12" ht="21.75">
      <c r="A39" s="258" t="s">
        <v>116</v>
      </c>
      <c r="B39" s="24"/>
      <c r="C39" s="377" t="s">
        <v>117</v>
      </c>
      <c r="D39" s="378" t="s">
        <v>17</v>
      </c>
      <c r="E39" s="379">
        <v>500</v>
      </c>
      <c r="F39" s="380">
        <v>39</v>
      </c>
      <c r="G39" s="381">
        <f t="shared" si="0"/>
        <v>39</v>
      </c>
      <c r="H39" s="380">
        <f t="shared" si="1"/>
        <v>2.7300000000000004</v>
      </c>
      <c r="I39" s="382">
        <f t="shared" si="2"/>
        <v>-19541.73</v>
      </c>
      <c r="J39" s="338">
        <f>SUM(I39:I41)</f>
        <v>-1280.8919999999998</v>
      </c>
      <c r="K39" s="298">
        <f t="shared" si="3"/>
        <v>33657.129200000025</v>
      </c>
      <c r="L39" s="393"/>
    </row>
    <row r="40" spans="1:12" ht="21.75">
      <c r="A40" s="259"/>
      <c r="B40" s="6"/>
      <c r="C40" s="445" t="s">
        <v>95</v>
      </c>
      <c r="D40" s="446" t="s">
        <v>22</v>
      </c>
      <c r="E40" s="447">
        <v>300</v>
      </c>
      <c r="F40" s="448">
        <v>30</v>
      </c>
      <c r="G40" s="448">
        <f t="shared" si="0"/>
        <v>18</v>
      </c>
      <c r="H40" s="448">
        <f t="shared" si="1"/>
        <v>1.2600000000000002</v>
      </c>
      <c r="I40" s="449">
        <f t="shared" si="2"/>
        <v>8980.74</v>
      </c>
      <c r="J40" s="273"/>
      <c r="K40" s="274">
        <f t="shared" si="3"/>
        <v>42637.86920000002</v>
      </c>
      <c r="L40" s="340"/>
    </row>
    <row r="41" spans="1:12" ht="21.75">
      <c r="A41" s="259"/>
      <c r="B41" s="6"/>
      <c r="C41" s="445" t="s">
        <v>95</v>
      </c>
      <c r="D41" s="446" t="s">
        <v>22</v>
      </c>
      <c r="E41" s="447">
        <v>300</v>
      </c>
      <c r="F41" s="448">
        <v>31</v>
      </c>
      <c r="G41" s="448">
        <f t="shared" si="0"/>
        <v>18.6</v>
      </c>
      <c r="H41" s="448">
        <f t="shared" si="1"/>
        <v>1.3020000000000003</v>
      </c>
      <c r="I41" s="449">
        <f t="shared" si="2"/>
        <v>9280.098</v>
      </c>
      <c r="J41" s="273"/>
      <c r="K41" s="274">
        <f t="shared" si="3"/>
        <v>51917.96720000002</v>
      </c>
      <c r="L41" s="340"/>
    </row>
    <row r="42" spans="1:12" ht="21.75">
      <c r="A42" s="259"/>
      <c r="B42" s="6"/>
      <c r="C42" s="450" t="s">
        <v>95</v>
      </c>
      <c r="D42" s="451" t="s">
        <v>17</v>
      </c>
      <c r="E42" s="452">
        <v>300</v>
      </c>
      <c r="F42" s="453">
        <v>30</v>
      </c>
      <c r="G42" s="455">
        <f t="shared" si="0"/>
        <v>18</v>
      </c>
      <c r="H42" s="453">
        <f t="shared" si="1"/>
        <v>1.2600000000000002</v>
      </c>
      <c r="I42" s="454">
        <f t="shared" si="2"/>
        <v>-9019.26</v>
      </c>
      <c r="J42" s="273"/>
      <c r="K42" s="274"/>
      <c r="L42" s="340"/>
    </row>
    <row r="43" spans="1:12" ht="22.5" thickBot="1">
      <c r="A43" s="260"/>
      <c r="B43" s="28"/>
      <c r="C43" s="456" t="s">
        <v>95</v>
      </c>
      <c r="D43" s="457" t="s">
        <v>17</v>
      </c>
      <c r="E43" s="458">
        <v>300</v>
      </c>
      <c r="F43" s="459">
        <v>31</v>
      </c>
      <c r="G43" s="459">
        <f t="shared" si="0"/>
        <v>18.6</v>
      </c>
      <c r="H43" s="459">
        <f t="shared" si="1"/>
        <v>1.3020000000000003</v>
      </c>
      <c r="I43" s="460">
        <f t="shared" si="2"/>
        <v>-9319.902</v>
      </c>
      <c r="J43" s="300"/>
      <c r="K43" s="301"/>
      <c r="L43" s="302"/>
    </row>
    <row r="44" spans="1:12" ht="22.5" thickBot="1">
      <c r="A44" s="317" t="s">
        <v>118</v>
      </c>
      <c r="B44" s="37"/>
      <c r="C44" s="461" t="s">
        <v>117</v>
      </c>
      <c r="D44" s="462" t="s">
        <v>22</v>
      </c>
      <c r="E44" s="463">
        <v>300</v>
      </c>
      <c r="F44" s="464">
        <v>40</v>
      </c>
      <c r="G44" s="464">
        <f t="shared" si="0"/>
        <v>24</v>
      </c>
      <c r="H44" s="464">
        <f t="shared" si="1"/>
        <v>1.6800000000000002</v>
      </c>
      <c r="I44" s="465">
        <f t="shared" si="2"/>
        <v>11974.32</v>
      </c>
      <c r="J44" s="318">
        <f>I44</f>
        <v>11974.32</v>
      </c>
      <c r="K44" s="319">
        <f>K41+I44</f>
        <v>63892.28720000002</v>
      </c>
      <c r="L44" s="320"/>
    </row>
    <row r="45" spans="1:12" ht="21.75">
      <c r="A45" s="258" t="s">
        <v>119</v>
      </c>
      <c r="B45" s="24"/>
      <c r="C45" s="377" t="s">
        <v>117</v>
      </c>
      <c r="D45" s="378" t="s">
        <v>22</v>
      </c>
      <c r="E45" s="379">
        <v>200</v>
      </c>
      <c r="F45" s="380">
        <v>41.5</v>
      </c>
      <c r="G45" s="381">
        <f t="shared" si="0"/>
        <v>16.6</v>
      </c>
      <c r="H45" s="380">
        <f t="shared" si="1"/>
        <v>1.1620000000000001</v>
      </c>
      <c r="I45" s="382">
        <f t="shared" si="2"/>
        <v>8282.238</v>
      </c>
      <c r="J45" s="338">
        <f>SUM(I45:I48)</f>
        <v>-11227.040000000003</v>
      </c>
      <c r="K45" s="298">
        <f t="shared" si="3"/>
        <v>72174.52520000002</v>
      </c>
      <c r="L45" s="383">
        <f>I39+I44+I45</f>
        <v>714.8279999999995</v>
      </c>
    </row>
    <row r="46" spans="1:12" ht="21.75">
      <c r="A46" s="259"/>
      <c r="B46" s="6"/>
      <c r="C46" s="466" t="s">
        <v>99</v>
      </c>
      <c r="D46" s="103" t="s">
        <v>22</v>
      </c>
      <c r="E46" s="467">
        <v>500</v>
      </c>
      <c r="F46" s="468">
        <v>8.25</v>
      </c>
      <c r="G46" s="468">
        <f t="shared" si="0"/>
        <v>8.25</v>
      </c>
      <c r="H46" s="468">
        <f t="shared" si="1"/>
        <v>0.5775</v>
      </c>
      <c r="I46" s="469">
        <f t="shared" si="2"/>
        <v>4116.1725</v>
      </c>
      <c r="J46" s="273"/>
      <c r="K46" s="274">
        <f t="shared" si="3"/>
        <v>76290.69770000002</v>
      </c>
      <c r="L46" s="340"/>
    </row>
    <row r="47" spans="1:12" ht="21.75">
      <c r="A47" s="259"/>
      <c r="B47" s="6"/>
      <c r="C47" s="470" t="s">
        <v>120</v>
      </c>
      <c r="D47" s="125" t="s">
        <v>17</v>
      </c>
      <c r="E47" s="471">
        <v>300</v>
      </c>
      <c r="F47" s="472">
        <v>31.5</v>
      </c>
      <c r="G47" s="472">
        <f t="shared" si="0"/>
        <v>18.900000000000002</v>
      </c>
      <c r="H47" s="472">
        <f t="shared" si="1"/>
        <v>1.3230000000000002</v>
      </c>
      <c r="I47" s="473">
        <f t="shared" si="2"/>
        <v>-9470.223</v>
      </c>
      <c r="J47" s="273"/>
      <c r="K47" s="274">
        <f t="shared" si="3"/>
        <v>66820.47470000002</v>
      </c>
      <c r="L47" s="340"/>
    </row>
    <row r="48" spans="1:12" ht="22.5" thickBot="1">
      <c r="A48" s="260"/>
      <c r="B48" s="28"/>
      <c r="C48" s="474" t="s">
        <v>121</v>
      </c>
      <c r="D48" s="187" t="s">
        <v>17</v>
      </c>
      <c r="E48" s="475">
        <v>500</v>
      </c>
      <c r="F48" s="476">
        <v>28.25</v>
      </c>
      <c r="G48" s="477">
        <f t="shared" si="0"/>
        <v>28.25</v>
      </c>
      <c r="H48" s="476">
        <f t="shared" si="1"/>
        <v>1.9775000000000003</v>
      </c>
      <c r="I48" s="478">
        <f t="shared" si="2"/>
        <v>-14155.2275</v>
      </c>
      <c r="J48" s="300"/>
      <c r="K48" s="301">
        <f t="shared" si="3"/>
        <v>52665.24720000002</v>
      </c>
      <c r="L48" s="302"/>
    </row>
    <row r="49" spans="1:12" ht="21.75">
      <c r="A49" s="258" t="s">
        <v>122</v>
      </c>
      <c r="B49" s="24"/>
      <c r="C49" s="479" t="s">
        <v>120</v>
      </c>
      <c r="D49" s="480" t="s">
        <v>22</v>
      </c>
      <c r="E49" s="481">
        <v>300</v>
      </c>
      <c r="F49" s="482">
        <v>32.25</v>
      </c>
      <c r="G49" s="482">
        <f t="shared" si="0"/>
        <v>19.35</v>
      </c>
      <c r="H49" s="482">
        <f t="shared" si="1"/>
        <v>1.3545000000000003</v>
      </c>
      <c r="I49" s="483">
        <f t="shared" si="2"/>
        <v>9654.2955</v>
      </c>
      <c r="J49" s="338">
        <f>SUM(I49:I50)</f>
        <v>19632.8955</v>
      </c>
      <c r="K49" s="298">
        <f t="shared" si="3"/>
        <v>62319.54270000002</v>
      </c>
      <c r="L49" s="488">
        <f>I47+I49</f>
        <v>184.07250000000022</v>
      </c>
    </row>
    <row r="50" spans="1:12" ht="22.5" thickBot="1">
      <c r="A50" s="260"/>
      <c r="B50" s="28"/>
      <c r="C50" s="484" t="s">
        <v>88</v>
      </c>
      <c r="D50" s="138" t="s">
        <v>22</v>
      </c>
      <c r="E50" s="485">
        <v>500</v>
      </c>
      <c r="F50" s="486">
        <v>20</v>
      </c>
      <c r="G50" s="486">
        <f t="shared" si="0"/>
        <v>20</v>
      </c>
      <c r="H50" s="486">
        <f t="shared" si="1"/>
        <v>1.4000000000000001</v>
      </c>
      <c r="I50" s="487">
        <f t="shared" si="2"/>
        <v>9978.6</v>
      </c>
      <c r="J50" s="300"/>
      <c r="K50" s="301">
        <f t="shared" si="3"/>
        <v>72298.14270000003</v>
      </c>
      <c r="L50" s="302"/>
    </row>
    <row r="51" spans="1:12" ht="21.75">
      <c r="A51" s="258" t="s">
        <v>123</v>
      </c>
      <c r="B51" s="24"/>
      <c r="C51" s="489" t="s">
        <v>95</v>
      </c>
      <c r="D51" s="490" t="s">
        <v>22</v>
      </c>
      <c r="E51" s="491">
        <v>500</v>
      </c>
      <c r="F51" s="492">
        <v>31.5</v>
      </c>
      <c r="G51" s="493">
        <f t="shared" si="0"/>
        <v>31.5</v>
      </c>
      <c r="H51" s="492">
        <f t="shared" si="1"/>
        <v>2.205</v>
      </c>
      <c r="I51" s="494">
        <f t="shared" si="2"/>
        <v>15716.295</v>
      </c>
      <c r="J51" s="338">
        <f>I52</f>
        <v>-15783.705</v>
      </c>
      <c r="K51" s="298"/>
      <c r="L51" s="393"/>
    </row>
    <row r="52" spans="1:12" ht="22.5" thickBot="1">
      <c r="A52" s="260"/>
      <c r="B52" s="28"/>
      <c r="C52" s="216" t="s">
        <v>95</v>
      </c>
      <c r="D52" s="153" t="s">
        <v>17</v>
      </c>
      <c r="E52" s="394">
        <v>500</v>
      </c>
      <c r="F52" s="395">
        <v>31.5</v>
      </c>
      <c r="G52" s="395">
        <f t="shared" si="0"/>
        <v>31.5</v>
      </c>
      <c r="H52" s="395">
        <f t="shared" si="1"/>
        <v>2.205</v>
      </c>
      <c r="I52" s="397">
        <f t="shared" si="2"/>
        <v>-15783.705</v>
      </c>
      <c r="J52" s="300"/>
      <c r="K52" s="301">
        <f>K50+I52</f>
        <v>56514.437700000024</v>
      </c>
      <c r="L52" s="302"/>
    </row>
    <row r="53" spans="1:12" ht="21.75">
      <c r="A53" s="258" t="s">
        <v>124</v>
      </c>
      <c r="B53" s="24"/>
      <c r="C53" s="489" t="s">
        <v>95</v>
      </c>
      <c r="D53" s="490" t="s">
        <v>22</v>
      </c>
      <c r="E53" s="491">
        <v>100</v>
      </c>
      <c r="F53" s="492">
        <v>31.25</v>
      </c>
      <c r="G53" s="492">
        <f t="shared" si="0"/>
        <v>6.25</v>
      </c>
      <c r="H53" s="492">
        <f t="shared" si="1"/>
        <v>0.43750000000000006</v>
      </c>
      <c r="I53" s="494">
        <f t="shared" si="2"/>
        <v>3118.3125</v>
      </c>
      <c r="J53" s="338">
        <f>I54</f>
        <v>-3131.6875</v>
      </c>
      <c r="K53" s="298"/>
      <c r="L53" s="393"/>
    </row>
    <row r="54" spans="1:12" ht="22.5" thickBot="1">
      <c r="A54" s="260"/>
      <c r="B54" s="28"/>
      <c r="C54" s="216" t="s">
        <v>95</v>
      </c>
      <c r="D54" s="153" t="s">
        <v>17</v>
      </c>
      <c r="E54" s="394">
        <v>100</v>
      </c>
      <c r="F54" s="395">
        <v>31.25</v>
      </c>
      <c r="G54" s="396">
        <f t="shared" si="0"/>
        <v>6.25</v>
      </c>
      <c r="H54" s="395">
        <f t="shared" si="1"/>
        <v>0.43750000000000006</v>
      </c>
      <c r="I54" s="397">
        <f t="shared" si="2"/>
        <v>-3131.6875</v>
      </c>
      <c r="J54" s="300"/>
      <c r="K54" s="301">
        <f>K52+I54</f>
        <v>53382.750200000024</v>
      </c>
      <c r="L54" s="302"/>
    </row>
    <row r="55" spans="1:12" ht="21.75">
      <c r="A55" s="258" t="s">
        <v>125</v>
      </c>
      <c r="B55" s="24"/>
      <c r="C55" s="389" t="s">
        <v>95</v>
      </c>
      <c r="D55" s="105" t="s">
        <v>17</v>
      </c>
      <c r="E55" s="390">
        <v>500</v>
      </c>
      <c r="F55" s="391">
        <v>32</v>
      </c>
      <c r="G55" s="391">
        <f t="shared" si="0"/>
        <v>32</v>
      </c>
      <c r="H55" s="391">
        <f t="shared" si="1"/>
        <v>2.24</v>
      </c>
      <c r="I55" s="392">
        <f t="shared" si="2"/>
        <v>-16034.24</v>
      </c>
      <c r="J55" s="338">
        <f>SUM(I55:I57)</f>
        <v>-25125.190000000002</v>
      </c>
      <c r="K55" s="298">
        <f t="shared" si="3"/>
        <v>37348.510200000026</v>
      </c>
      <c r="L55" s="393"/>
    </row>
    <row r="56" spans="1:14" ht="21.75">
      <c r="A56" s="259"/>
      <c r="B56" s="6"/>
      <c r="C56" s="223" t="s">
        <v>95</v>
      </c>
      <c r="D56" s="60" t="s">
        <v>22</v>
      </c>
      <c r="E56" s="495">
        <v>500</v>
      </c>
      <c r="F56" s="496">
        <v>33.5</v>
      </c>
      <c r="G56" s="496">
        <f t="shared" si="0"/>
        <v>33.5</v>
      </c>
      <c r="H56" s="496">
        <f t="shared" si="1"/>
        <v>2.345</v>
      </c>
      <c r="I56" s="497">
        <f t="shared" si="2"/>
        <v>16714.155</v>
      </c>
      <c r="J56" s="273"/>
      <c r="K56" s="274">
        <f t="shared" si="3"/>
        <v>54062.665200000025</v>
      </c>
      <c r="L56" s="340"/>
      <c r="N56" s="16"/>
    </row>
    <row r="57" spans="1:14" ht="22.5" thickBot="1">
      <c r="A57" s="260"/>
      <c r="B57" s="28"/>
      <c r="C57" s="498" t="s">
        <v>126</v>
      </c>
      <c r="D57" s="499" t="s">
        <v>17</v>
      </c>
      <c r="E57" s="500">
        <v>1000</v>
      </c>
      <c r="F57" s="501">
        <v>25.75</v>
      </c>
      <c r="G57" s="502">
        <f t="shared" si="0"/>
        <v>51.5</v>
      </c>
      <c r="H57" s="501">
        <f t="shared" si="1"/>
        <v>3.6050000000000004</v>
      </c>
      <c r="I57" s="503">
        <f t="shared" si="2"/>
        <v>-25805.105</v>
      </c>
      <c r="J57" s="300"/>
      <c r="K57" s="509">
        <f>K56+I57+N57</f>
        <v>28385.880200000025</v>
      </c>
      <c r="L57" s="302"/>
      <c r="M57" s="360" t="s">
        <v>130</v>
      </c>
      <c r="N57" s="191">
        <v>128.32</v>
      </c>
    </row>
    <row r="58" spans="1:12" ht="22.5" thickBot="1">
      <c r="A58" s="317" t="s">
        <v>127</v>
      </c>
      <c r="B58" s="37"/>
      <c r="C58" s="504" t="s">
        <v>41</v>
      </c>
      <c r="D58" s="199" t="s">
        <v>22</v>
      </c>
      <c r="E58" s="505">
        <v>1000</v>
      </c>
      <c r="F58" s="506">
        <v>14.5</v>
      </c>
      <c r="G58" s="506">
        <f t="shared" si="0"/>
        <v>29</v>
      </c>
      <c r="H58" s="506">
        <f t="shared" si="1"/>
        <v>2.0300000000000002</v>
      </c>
      <c r="I58" s="507">
        <f t="shared" si="2"/>
        <v>14468.97</v>
      </c>
      <c r="J58" s="318">
        <f>I58</f>
        <v>14468.97</v>
      </c>
      <c r="K58" s="319">
        <f t="shared" si="3"/>
        <v>42854.85020000002</v>
      </c>
      <c r="L58" s="508">
        <f>SUM(I10:I11)-46444.25+I58+3000</f>
        <v>-835.6279999999988</v>
      </c>
    </row>
    <row r="59" spans="1:12" ht="21.75">
      <c r="A59" s="258" t="s">
        <v>128</v>
      </c>
      <c r="B59" s="24"/>
      <c r="C59" s="389" t="s">
        <v>95</v>
      </c>
      <c r="D59" s="105" t="s">
        <v>22</v>
      </c>
      <c r="E59" s="390">
        <v>100</v>
      </c>
      <c r="F59" s="391">
        <v>40</v>
      </c>
      <c r="G59" s="391">
        <f t="shared" si="0"/>
        <v>8</v>
      </c>
      <c r="H59" s="391">
        <f t="shared" si="1"/>
        <v>0.56</v>
      </c>
      <c r="I59" s="392">
        <f t="shared" si="2"/>
        <v>3991.44</v>
      </c>
      <c r="J59" s="338">
        <f>SUM(I59:I60)</f>
        <v>183.308</v>
      </c>
      <c r="K59" s="298">
        <f t="shared" si="3"/>
        <v>46846.290200000025</v>
      </c>
      <c r="L59" s="393"/>
    </row>
    <row r="60" spans="1:12" ht="22.5" thickBot="1">
      <c r="A60" s="260"/>
      <c r="B60" s="28"/>
      <c r="C60" s="216" t="s">
        <v>95</v>
      </c>
      <c r="D60" s="153" t="s">
        <v>17</v>
      </c>
      <c r="E60" s="394">
        <v>100</v>
      </c>
      <c r="F60" s="395">
        <v>38</v>
      </c>
      <c r="G60" s="396">
        <f t="shared" si="0"/>
        <v>7.6000000000000005</v>
      </c>
      <c r="H60" s="395">
        <f t="shared" si="1"/>
        <v>0.5320000000000001</v>
      </c>
      <c r="I60" s="397">
        <f t="shared" si="2"/>
        <v>-3808.132</v>
      </c>
      <c r="J60" s="300"/>
      <c r="K60" s="301">
        <f t="shared" si="3"/>
        <v>43038.15820000003</v>
      </c>
      <c r="L60" s="302"/>
    </row>
    <row r="61" spans="1:12" ht="21.75">
      <c r="A61" s="258" t="s">
        <v>129</v>
      </c>
      <c r="B61" s="24"/>
      <c r="C61" s="389" t="s">
        <v>95</v>
      </c>
      <c r="D61" s="105" t="s">
        <v>22</v>
      </c>
      <c r="E61" s="390">
        <v>300</v>
      </c>
      <c r="F61" s="391">
        <v>40</v>
      </c>
      <c r="G61" s="391">
        <f t="shared" si="0"/>
        <v>24</v>
      </c>
      <c r="H61" s="391">
        <f t="shared" si="1"/>
        <v>1.6800000000000002</v>
      </c>
      <c r="I61" s="392">
        <f t="shared" si="2"/>
        <v>11974.32</v>
      </c>
      <c r="J61" s="338">
        <f>SUM(I61:I62)</f>
        <v>-13830.785</v>
      </c>
      <c r="K61" s="298">
        <f t="shared" si="3"/>
        <v>55012.47820000003</v>
      </c>
      <c r="L61" s="393"/>
    </row>
    <row r="62" spans="1:12" ht="22.5" thickBot="1">
      <c r="A62" s="260"/>
      <c r="B62" s="28"/>
      <c r="C62" s="498" t="s">
        <v>126</v>
      </c>
      <c r="D62" s="499" t="s">
        <v>17</v>
      </c>
      <c r="E62" s="500">
        <v>1000</v>
      </c>
      <c r="F62" s="501">
        <v>25.75</v>
      </c>
      <c r="G62" s="501">
        <f t="shared" si="0"/>
        <v>51.5</v>
      </c>
      <c r="H62" s="501">
        <f t="shared" si="1"/>
        <v>3.6050000000000004</v>
      </c>
      <c r="I62" s="503">
        <f t="shared" si="2"/>
        <v>-25805.105</v>
      </c>
      <c r="J62" s="300"/>
      <c r="K62" s="301">
        <f t="shared" si="3"/>
        <v>29207.373200000027</v>
      </c>
      <c r="L62" s="302"/>
    </row>
    <row r="63" spans="1:12" ht="22.5" thickBot="1">
      <c r="A63" s="317" t="s">
        <v>131</v>
      </c>
      <c r="B63" s="37"/>
      <c r="C63" s="413" t="s">
        <v>121</v>
      </c>
      <c r="D63" s="252" t="s">
        <v>22</v>
      </c>
      <c r="E63" s="414">
        <v>500</v>
      </c>
      <c r="F63" s="415">
        <v>29.75</v>
      </c>
      <c r="G63" s="510">
        <f t="shared" si="0"/>
        <v>29.75</v>
      </c>
      <c r="H63" s="415">
        <f t="shared" si="1"/>
        <v>2.0825</v>
      </c>
      <c r="I63" s="416">
        <f t="shared" si="2"/>
        <v>14843.1675</v>
      </c>
      <c r="J63" s="318">
        <f>I63</f>
        <v>14843.1675</v>
      </c>
      <c r="K63" s="319">
        <f t="shared" si="3"/>
        <v>44050.54070000003</v>
      </c>
      <c r="L63" s="511">
        <f>I48+I63</f>
        <v>687.9399999999987</v>
      </c>
    </row>
    <row r="64" spans="1:14" ht="22.5" thickBot="1">
      <c r="A64" s="317" t="s">
        <v>132</v>
      </c>
      <c r="B64" s="37"/>
      <c r="C64" s="512" t="s">
        <v>133</v>
      </c>
      <c r="D64" s="201" t="s">
        <v>17</v>
      </c>
      <c r="E64" s="513">
        <v>400</v>
      </c>
      <c r="F64" s="514">
        <v>44.5</v>
      </c>
      <c r="G64" s="514">
        <f t="shared" si="0"/>
        <v>35.6</v>
      </c>
      <c r="H64" s="514">
        <f t="shared" si="1"/>
        <v>2.4920000000000004</v>
      </c>
      <c r="I64" s="515">
        <f t="shared" si="2"/>
        <v>-17838.091999999997</v>
      </c>
      <c r="J64" s="318">
        <f>I64</f>
        <v>-17838.091999999997</v>
      </c>
      <c r="K64" s="516">
        <f>K63+I64+N64</f>
        <v>51212.44870000003</v>
      </c>
      <c r="L64" s="320"/>
      <c r="M64" s="360" t="s">
        <v>93</v>
      </c>
      <c r="N64" s="361">
        <v>25000</v>
      </c>
    </row>
    <row r="65" spans="1:12" ht="22.5" thickBot="1">
      <c r="A65" s="317" t="s">
        <v>134</v>
      </c>
      <c r="B65" s="37"/>
      <c r="C65" s="517" t="s">
        <v>121</v>
      </c>
      <c r="D65" s="518" t="s">
        <v>17</v>
      </c>
      <c r="E65" s="519">
        <v>500</v>
      </c>
      <c r="F65" s="520">
        <v>27.25</v>
      </c>
      <c r="G65" s="520">
        <f t="shared" si="0"/>
        <v>27.25</v>
      </c>
      <c r="H65" s="520">
        <f t="shared" si="1"/>
        <v>1.9075000000000002</v>
      </c>
      <c r="I65" s="521">
        <f t="shared" si="2"/>
        <v>-13654.1575</v>
      </c>
      <c r="J65" s="318">
        <f>I65</f>
        <v>-13654.1575</v>
      </c>
      <c r="K65" s="319">
        <f t="shared" si="3"/>
        <v>37558.29120000003</v>
      </c>
      <c r="L65" s="320"/>
    </row>
    <row r="66" spans="1:12" ht="21.75">
      <c r="A66" s="258" t="s">
        <v>135</v>
      </c>
      <c r="B66" s="24"/>
      <c r="C66" s="332" t="s">
        <v>133</v>
      </c>
      <c r="D66" s="333" t="s">
        <v>22</v>
      </c>
      <c r="E66" s="334">
        <v>200</v>
      </c>
      <c r="F66" s="335">
        <v>43.5</v>
      </c>
      <c r="G66" s="336">
        <f t="shared" si="0"/>
        <v>17.400000000000002</v>
      </c>
      <c r="H66" s="335">
        <f t="shared" si="1"/>
        <v>1.2180000000000002</v>
      </c>
      <c r="I66" s="337">
        <f t="shared" si="2"/>
        <v>8681.382</v>
      </c>
      <c r="J66" s="338">
        <f>SUM(I66:I67)</f>
        <v>17213.085</v>
      </c>
      <c r="K66" s="298">
        <f t="shared" si="3"/>
        <v>46239.67320000003</v>
      </c>
      <c r="L66" s="393"/>
    </row>
    <row r="67" spans="1:12" ht="22.5" thickBot="1">
      <c r="A67" s="260"/>
      <c r="B67" s="28"/>
      <c r="C67" s="522" t="s">
        <v>133</v>
      </c>
      <c r="D67" s="523" t="s">
        <v>22</v>
      </c>
      <c r="E67" s="524">
        <v>200</v>
      </c>
      <c r="F67" s="525">
        <v>42.75</v>
      </c>
      <c r="G67" s="525">
        <f aca="true" t="shared" si="4" ref="G67:G75">จำนวน*ราคา*0.002</f>
        <v>17.1</v>
      </c>
      <c r="H67" s="525">
        <f aca="true" t="shared" si="5" ref="H67:H75">คอม*0.07</f>
        <v>1.1970000000000003</v>
      </c>
      <c r="I67" s="526">
        <f aca="true" t="shared" si="6" ref="I67:I75">IF(ซื้อขาย="b",((จำนวน*ราคา)+คอม+ภาษี)*(-1),IF(ซื้อขาย="s",(จำนวน*ราคา)-คอม-ภาษี,))</f>
        <v>8531.703</v>
      </c>
      <c r="J67" s="300"/>
      <c r="K67" s="301">
        <f t="shared" si="3"/>
        <v>54771.37620000003</v>
      </c>
      <c r="L67" s="527">
        <f>I64+I66+I67</f>
        <v>-625.0069999999978</v>
      </c>
    </row>
    <row r="68" spans="1:14" ht="21.75">
      <c r="A68" s="258" t="s">
        <v>136</v>
      </c>
      <c r="B68" s="24"/>
      <c r="C68" s="389" t="s">
        <v>95</v>
      </c>
      <c r="D68" s="105" t="s">
        <v>17</v>
      </c>
      <c r="E68" s="390">
        <v>300</v>
      </c>
      <c r="F68" s="391">
        <v>37</v>
      </c>
      <c r="G68" s="391">
        <f t="shared" si="4"/>
        <v>22.2</v>
      </c>
      <c r="H68" s="391">
        <f t="shared" si="5"/>
        <v>1.554</v>
      </c>
      <c r="I68" s="392">
        <f t="shared" si="6"/>
        <v>-11123.754</v>
      </c>
      <c r="J68" s="338">
        <f>SUM(I68:I70)</f>
        <v>-48202.934</v>
      </c>
      <c r="K68" s="298">
        <f aca="true" t="shared" si="7" ref="K68:K75">K67+I68</f>
        <v>43647.62220000003</v>
      </c>
      <c r="L68" s="393"/>
      <c r="N68" s="16">
        <f>I12+I17+I18+I22+I24+I25+I28+I29+I31+SUM(I40:I43)+SUM(I51:I56)+SUM(I59:I61)+I68</f>
        <v>-12322.450000000003</v>
      </c>
    </row>
    <row r="69" spans="1:12" ht="21.75">
      <c r="A69" s="259"/>
      <c r="B69" s="6"/>
      <c r="C69" s="430" t="s">
        <v>106</v>
      </c>
      <c r="D69" s="431" t="s">
        <v>17</v>
      </c>
      <c r="E69" s="432">
        <v>200</v>
      </c>
      <c r="F69" s="433">
        <v>52.5</v>
      </c>
      <c r="G69" s="435">
        <f t="shared" si="4"/>
        <v>21</v>
      </c>
      <c r="H69" s="433">
        <f t="shared" si="5"/>
        <v>1.4700000000000002</v>
      </c>
      <c r="I69" s="434">
        <f t="shared" si="6"/>
        <v>-10522.47</v>
      </c>
      <c r="J69" s="273"/>
      <c r="K69" s="274">
        <f t="shared" si="7"/>
        <v>33125.152200000026</v>
      </c>
      <c r="L69" s="340"/>
    </row>
    <row r="70" spans="1:12" ht="22.5" thickBot="1">
      <c r="A70" s="260"/>
      <c r="B70" s="28"/>
      <c r="C70" s="309" t="s">
        <v>106</v>
      </c>
      <c r="D70" s="310" t="s">
        <v>17</v>
      </c>
      <c r="E70" s="311">
        <v>500</v>
      </c>
      <c r="F70" s="313">
        <v>53</v>
      </c>
      <c r="G70" s="313">
        <f t="shared" si="4"/>
        <v>53</v>
      </c>
      <c r="H70" s="313">
        <f t="shared" si="5"/>
        <v>3.7100000000000004</v>
      </c>
      <c r="I70" s="314">
        <f t="shared" si="6"/>
        <v>-26556.71</v>
      </c>
      <c r="J70" s="300"/>
      <c r="K70" s="301">
        <f t="shared" si="7"/>
        <v>6568.442200000027</v>
      </c>
      <c r="L70" s="302"/>
    </row>
    <row r="71" spans="1:12" ht="22.5" thickBot="1">
      <c r="A71" s="317" t="s">
        <v>137</v>
      </c>
      <c r="B71" s="37"/>
      <c r="C71" s="517" t="s">
        <v>121</v>
      </c>
      <c r="D71" s="518" t="s">
        <v>22</v>
      </c>
      <c r="E71" s="519">
        <v>500</v>
      </c>
      <c r="F71" s="520">
        <v>28.75</v>
      </c>
      <c r="G71" s="520">
        <f t="shared" si="4"/>
        <v>28.75</v>
      </c>
      <c r="H71" s="520">
        <f t="shared" si="5"/>
        <v>2.0125</v>
      </c>
      <c r="I71" s="521">
        <f t="shared" si="6"/>
        <v>14344.2375</v>
      </c>
      <c r="J71" s="318">
        <f>I71</f>
        <v>14344.2375</v>
      </c>
      <c r="K71" s="319">
        <f t="shared" si="7"/>
        <v>20912.679700000026</v>
      </c>
      <c r="L71" s="528">
        <f>I65+I71</f>
        <v>690.0799999999999</v>
      </c>
    </row>
    <row r="72" spans="1:12" ht="21.75">
      <c r="A72" s="258" t="s">
        <v>138</v>
      </c>
      <c r="B72" s="24"/>
      <c r="C72" s="536" t="s">
        <v>117</v>
      </c>
      <c r="D72" s="147" t="s">
        <v>17</v>
      </c>
      <c r="E72" s="537">
        <v>500</v>
      </c>
      <c r="F72" s="538">
        <v>37.5</v>
      </c>
      <c r="G72" s="539">
        <f t="shared" si="4"/>
        <v>37.5</v>
      </c>
      <c r="H72" s="538">
        <f t="shared" si="5"/>
        <v>2.6250000000000004</v>
      </c>
      <c r="I72" s="540">
        <f t="shared" si="6"/>
        <v>-18790.125</v>
      </c>
      <c r="J72" s="338">
        <f>SUM(I72:I74)</f>
        <v>-17913.879</v>
      </c>
      <c r="K72" s="298">
        <f t="shared" si="7"/>
        <v>2122.554700000026</v>
      </c>
      <c r="L72" s="393"/>
    </row>
    <row r="73" spans="1:12" ht="21.75">
      <c r="A73" s="259"/>
      <c r="B73" s="6"/>
      <c r="C73" s="404" t="s">
        <v>88</v>
      </c>
      <c r="D73" s="69" t="s">
        <v>22</v>
      </c>
      <c r="E73" s="405">
        <v>300</v>
      </c>
      <c r="F73" s="406">
        <v>20</v>
      </c>
      <c r="G73" s="406">
        <f t="shared" si="4"/>
        <v>12</v>
      </c>
      <c r="H73" s="406">
        <f t="shared" si="5"/>
        <v>0.8400000000000001</v>
      </c>
      <c r="I73" s="407">
        <f t="shared" si="6"/>
        <v>5987.16</v>
      </c>
      <c r="J73" s="273"/>
      <c r="K73" s="274">
        <f t="shared" si="7"/>
        <v>8109.714700000026</v>
      </c>
      <c r="L73" s="529">
        <f>I5+I20+I21+I50+I73</f>
        <v>-2221.056399999992</v>
      </c>
    </row>
    <row r="74" spans="1:12" ht="22.5" thickBot="1">
      <c r="A74" s="260"/>
      <c r="B74" s="28"/>
      <c r="C74" s="309" t="s">
        <v>106</v>
      </c>
      <c r="D74" s="310" t="s">
        <v>17</v>
      </c>
      <c r="E74" s="311">
        <v>100</v>
      </c>
      <c r="F74" s="313">
        <v>51</v>
      </c>
      <c r="G74" s="313">
        <f t="shared" si="4"/>
        <v>10.200000000000001</v>
      </c>
      <c r="H74" s="313">
        <f t="shared" si="5"/>
        <v>0.7140000000000002</v>
      </c>
      <c r="I74" s="314">
        <f t="shared" si="6"/>
        <v>-5110.914</v>
      </c>
      <c r="J74" s="300"/>
      <c r="K74" s="301">
        <f t="shared" si="7"/>
        <v>2998.800700000026</v>
      </c>
      <c r="L74" s="302"/>
    </row>
    <row r="75" spans="1:14" ht="22.5" thickBot="1">
      <c r="A75" s="317" t="s">
        <v>139</v>
      </c>
      <c r="B75" s="37"/>
      <c r="C75" s="530" t="s">
        <v>126</v>
      </c>
      <c r="D75" s="531" t="s">
        <v>22</v>
      </c>
      <c r="E75" s="532">
        <v>1500</v>
      </c>
      <c r="F75" s="533">
        <v>27.5</v>
      </c>
      <c r="G75" s="534">
        <f t="shared" si="4"/>
        <v>82.5</v>
      </c>
      <c r="H75" s="533">
        <f t="shared" si="5"/>
        <v>5.775</v>
      </c>
      <c r="I75" s="535">
        <f t="shared" si="6"/>
        <v>41161.725</v>
      </c>
      <c r="J75" s="318">
        <f>I75</f>
        <v>41161.725</v>
      </c>
      <c r="K75" s="319">
        <f t="shared" si="7"/>
        <v>44160.52570000003</v>
      </c>
      <c r="L75" s="320"/>
      <c r="N75" s="16"/>
    </row>
    <row r="76" ht="21.75">
      <c r="I76" s="315"/>
    </row>
    <row r="78" ht="21.75">
      <c r="J78" s="16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dcterms:created xsi:type="dcterms:W3CDTF">2002-03-03T14:57:23Z</dcterms:created>
  <dcterms:modified xsi:type="dcterms:W3CDTF">2003-01-03T17:19:49Z</dcterms:modified>
  <cp:category/>
  <cp:version/>
  <cp:contentType/>
  <cp:contentStatus/>
</cp:coreProperties>
</file>