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60" windowHeight="9225" tabRatio="869" activeTab="5"/>
  </bookViews>
  <sheets>
    <sheet name="Tran" sheetId="1" r:id="rId1"/>
    <sheet name="29D-9J" sheetId="2" r:id="rId2"/>
    <sheet name="12J-16J" sheetId="3" r:id="rId3"/>
    <sheet name="19J-23J" sheetId="4" r:id="rId4"/>
    <sheet name="26J-30J" sheetId="5" r:id="rId5"/>
    <sheet name="2F-6F" sheetId="6" r:id="rId6"/>
    <sheet name="Perf." sheetId="7" r:id="rId7"/>
    <sheet name="%CHG" sheetId="8" r:id="rId8"/>
    <sheet name="Return" sheetId="9" r:id="rId9"/>
  </sheets>
  <definedNames/>
  <calcPr fullCalcOnLoad="1"/>
</workbook>
</file>

<file path=xl/sharedStrings.xml><?xml version="1.0" encoding="utf-8"?>
<sst xmlns="http://schemas.openxmlformats.org/spreadsheetml/2006/main" count="1680" uniqueCount="341">
  <si>
    <t>DATE</t>
  </si>
  <si>
    <t>TRANSACTION</t>
  </si>
  <si>
    <t>NAME</t>
  </si>
  <si>
    <t>B/S</t>
  </si>
  <si>
    <t>QUANTITY</t>
  </si>
  <si>
    <t>PRICE</t>
  </si>
  <si>
    <t>COM</t>
  </si>
  <si>
    <t>VAT</t>
  </si>
  <si>
    <t>AMOUNT</t>
  </si>
  <si>
    <t>COST PRICE</t>
  </si>
  <si>
    <t>MK PRICE</t>
  </si>
  <si>
    <t>MK VALUE</t>
  </si>
  <si>
    <t>% OF NAV</t>
  </si>
  <si>
    <t>NET BUY</t>
  </si>
  <si>
    <t>NAV</t>
  </si>
  <si>
    <t>TOTAL ASSET VALUE</t>
  </si>
  <si>
    <t>PERFORMANCE</t>
  </si>
  <si>
    <t>CHANGE</t>
  </si>
  <si>
    <t>PERCENT</t>
  </si>
  <si>
    <t>SET</t>
  </si>
  <si>
    <t>22/10</t>
  </si>
  <si>
    <t>RETURN SINCE INCEPTION</t>
  </si>
  <si>
    <t>21/10</t>
  </si>
  <si>
    <t>ROJANA</t>
  </si>
  <si>
    <t>NAV / UNIT</t>
  </si>
  <si>
    <t>TOTAL MARKET VALUE</t>
  </si>
  <si>
    <t>NET SELL</t>
  </si>
  <si>
    <t>24/10</t>
  </si>
  <si>
    <t>25/10</t>
  </si>
  <si>
    <t>28/10</t>
  </si>
  <si>
    <t>29/10</t>
  </si>
  <si>
    <t>30/10</t>
  </si>
  <si>
    <t>31/10</t>
  </si>
  <si>
    <t>1/11</t>
  </si>
  <si>
    <t>4/11</t>
  </si>
  <si>
    <t>5/11</t>
  </si>
  <si>
    <t>6/11</t>
  </si>
  <si>
    <t>7/11</t>
  </si>
  <si>
    <t>8/11</t>
  </si>
  <si>
    <t>11/11</t>
  </si>
  <si>
    <t>12/11</t>
  </si>
  <si>
    <t>13/11</t>
  </si>
  <si>
    <t>14/11</t>
  </si>
  <si>
    <t>15/11</t>
  </si>
  <si>
    <t>18/11</t>
  </si>
  <si>
    <t>19/11</t>
  </si>
  <si>
    <t>20/11</t>
  </si>
  <si>
    <t>21/11</t>
  </si>
  <si>
    <t>22/11</t>
  </si>
  <si>
    <t>25/11</t>
  </si>
  <si>
    <t>26/11</t>
  </si>
  <si>
    <t>27/11</t>
  </si>
  <si>
    <t>28/11</t>
  </si>
  <si>
    <t>29/11</t>
  </si>
  <si>
    <t>2/12</t>
  </si>
  <si>
    <t>3/12</t>
  </si>
  <si>
    <t>4/12</t>
  </si>
  <si>
    <t>6/12</t>
  </si>
  <si>
    <t>9/12</t>
  </si>
  <si>
    <t>11/12</t>
  </si>
  <si>
    <t>12/12</t>
  </si>
  <si>
    <t>13/12</t>
  </si>
  <si>
    <t>16/12</t>
  </si>
  <si>
    <t>17/12</t>
  </si>
  <si>
    <t>18/12</t>
  </si>
  <si>
    <t>19/12</t>
  </si>
  <si>
    <t>20/12</t>
  </si>
  <si>
    <t>23/12</t>
  </si>
  <si>
    <t>24/12</t>
  </si>
  <si>
    <t>25/12</t>
  </si>
  <si>
    <t>26/12</t>
  </si>
  <si>
    <t>27/12</t>
  </si>
  <si>
    <t>2/1</t>
  </si>
  <si>
    <t>3/1</t>
  </si>
  <si>
    <t>6/1</t>
  </si>
  <si>
    <t>7/1</t>
  </si>
  <si>
    <t>8/1</t>
  </si>
  <si>
    <t>9/1</t>
  </si>
  <si>
    <t>10/1</t>
  </si>
  <si>
    <t>13/1</t>
  </si>
  <si>
    <t>14/1</t>
  </si>
  <si>
    <t>15/1</t>
  </si>
  <si>
    <t>16/1</t>
  </si>
  <si>
    <t>17/1</t>
  </si>
  <si>
    <t>20/1</t>
  </si>
  <si>
    <t>21/1</t>
  </si>
  <si>
    <t>22/1</t>
  </si>
  <si>
    <t>23/1</t>
  </si>
  <si>
    <t>24/1</t>
  </si>
  <si>
    <t>SUBSCRIPTION</t>
  </si>
  <si>
    <t>27/1</t>
  </si>
  <si>
    <t>28/1</t>
  </si>
  <si>
    <t>29/1</t>
  </si>
  <si>
    <t>30/1</t>
  </si>
  <si>
    <t>31/1</t>
  </si>
  <si>
    <t>3/2</t>
  </si>
  <si>
    <t>4/2</t>
  </si>
  <si>
    <t>5/2</t>
  </si>
  <si>
    <t>6/2</t>
  </si>
  <si>
    <t>7/2</t>
  </si>
  <si>
    <t>10/2</t>
  </si>
  <si>
    <t>11/2</t>
  </si>
  <si>
    <t>REDEMPTION</t>
  </si>
  <si>
    <t>12/2</t>
  </si>
  <si>
    <t>13/2</t>
  </si>
  <si>
    <t>14/2</t>
  </si>
  <si>
    <t>18/2</t>
  </si>
  <si>
    <t>19/2</t>
  </si>
  <si>
    <t>20/2</t>
  </si>
  <si>
    <t>21/2</t>
  </si>
  <si>
    <t>24/2</t>
  </si>
  <si>
    <t>25/2</t>
  </si>
  <si>
    <t>26/2</t>
  </si>
  <si>
    <t>27/2</t>
  </si>
  <si>
    <t>28/2</t>
  </si>
  <si>
    <t>3/03</t>
  </si>
  <si>
    <t>4/03</t>
  </si>
  <si>
    <t>WEALTH</t>
  </si>
  <si>
    <t>BALANCE IN ACCOUNT</t>
  </si>
  <si>
    <t>5/03</t>
  </si>
  <si>
    <t>6/03</t>
  </si>
  <si>
    <t>7/03</t>
  </si>
  <si>
    <t>10/3</t>
  </si>
  <si>
    <t>11/3</t>
  </si>
  <si>
    <t>12/3</t>
  </si>
  <si>
    <t>13/3</t>
  </si>
  <si>
    <t>14/3</t>
  </si>
  <si>
    <t>17/3</t>
  </si>
  <si>
    <t>18/3</t>
  </si>
  <si>
    <t>19/3</t>
  </si>
  <si>
    <t>20/3</t>
  </si>
  <si>
    <t>21/3</t>
  </si>
  <si>
    <t>24/3</t>
  </si>
  <si>
    <t>25/3</t>
  </si>
  <si>
    <t>26/3</t>
  </si>
  <si>
    <t>27/3</t>
  </si>
  <si>
    <t>28/3</t>
  </si>
  <si>
    <t>31/3</t>
  </si>
  <si>
    <t>1/4</t>
  </si>
  <si>
    <t>2/4</t>
  </si>
  <si>
    <t>3/4</t>
  </si>
  <si>
    <t>4/4</t>
  </si>
  <si>
    <t>8/4</t>
  </si>
  <si>
    <t>9/4</t>
  </si>
  <si>
    <t>10/4</t>
  </si>
  <si>
    <t>11/4</t>
  </si>
  <si>
    <t>16/4</t>
  </si>
  <si>
    <t>17/4</t>
  </si>
  <si>
    <t>18/4</t>
  </si>
  <si>
    <t>21/4</t>
  </si>
  <si>
    <t>22/4</t>
  </si>
  <si>
    <t>23/4</t>
  </si>
  <si>
    <t>24/4</t>
  </si>
  <si>
    <t>25/4</t>
  </si>
  <si>
    <t>28/4</t>
  </si>
  <si>
    <t>29/4</t>
  </si>
  <si>
    <t>30/4</t>
  </si>
  <si>
    <t>2/5</t>
  </si>
  <si>
    <t>6/5</t>
  </si>
  <si>
    <t>7/5</t>
  </si>
  <si>
    <t>8/5</t>
  </si>
  <si>
    <t>9/5</t>
  </si>
  <si>
    <t>12/5</t>
  </si>
  <si>
    <t>13/5</t>
  </si>
  <si>
    <t>14/5</t>
  </si>
  <si>
    <t>16/5</t>
  </si>
  <si>
    <t>19/5</t>
  </si>
  <si>
    <t>20/5</t>
  </si>
  <si>
    <t>21/5</t>
  </si>
  <si>
    <t>22/5</t>
  </si>
  <si>
    <t>23/5</t>
  </si>
  <si>
    <t>26/5</t>
  </si>
  <si>
    <t>27/5</t>
  </si>
  <si>
    <t>28/5</t>
  </si>
  <si>
    <t>29/5</t>
  </si>
  <si>
    <t>30/5</t>
  </si>
  <si>
    <t>2/6</t>
  </si>
  <si>
    <t>3/6</t>
  </si>
  <si>
    <t>4/6</t>
  </si>
  <si>
    <t>5/6</t>
  </si>
  <si>
    <t>6/6</t>
  </si>
  <si>
    <t>9/6</t>
  </si>
  <si>
    <t>10/6</t>
  </si>
  <si>
    <t>11/6</t>
  </si>
  <si>
    <t>12/6</t>
  </si>
  <si>
    <t>13/6</t>
  </si>
  <si>
    <t>16/6</t>
  </si>
  <si>
    <t>17/6</t>
  </si>
  <si>
    <t>18/6</t>
  </si>
  <si>
    <t>19/6</t>
  </si>
  <si>
    <t>20/6</t>
  </si>
  <si>
    <t>23/6</t>
  </si>
  <si>
    <t>24/6</t>
  </si>
  <si>
    <t>25/6</t>
  </si>
  <si>
    <t>26/6</t>
  </si>
  <si>
    <t>27/6</t>
  </si>
  <si>
    <t>30/6</t>
  </si>
  <si>
    <t>2/7</t>
  </si>
  <si>
    <t>3/7</t>
  </si>
  <si>
    <t>4/7</t>
  </si>
  <si>
    <t>UV</t>
  </si>
  <si>
    <t>7/7</t>
  </si>
  <si>
    <t>8/7</t>
  </si>
  <si>
    <t>BALANCE AFTER T+3 SETTLEMENT</t>
  </si>
  <si>
    <t>9/7</t>
  </si>
  <si>
    <t>RATCH</t>
  </si>
  <si>
    <t>10/7</t>
  </si>
  <si>
    <t>11/7</t>
  </si>
  <si>
    <t>TUF</t>
  </si>
  <si>
    <t>15/7</t>
  </si>
  <si>
    <t>16/7</t>
  </si>
  <si>
    <t>17/7</t>
  </si>
  <si>
    <t>18/7</t>
  </si>
  <si>
    <t>21/7</t>
  </si>
  <si>
    <t>22/7</t>
  </si>
  <si>
    <t>23/7</t>
  </si>
  <si>
    <t>24/7</t>
  </si>
  <si>
    <t>25/7</t>
  </si>
  <si>
    <t>28/7</t>
  </si>
  <si>
    <t>29/7</t>
  </si>
  <si>
    <t>30/7</t>
  </si>
  <si>
    <t>31/7</t>
  </si>
  <si>
    <t>1/8</t>
  </si>
  <si>
    <t>4/8</t>
  </si>
  <si>
    <t>5/8</t>
  </si>
  <si>
    <t>6/8</t>
  </si>
  <si>
    <t>7/8</t>
  </si>
  <si>
    <t>8/8</t>
  </si>
  <si>
    <t>DAY</t>
  </si>
  <si>
    <t>MON</t>
  </si>
  <si>
    <t>S</t>
  </si>
  <si>
    <t>B</t>
  </si>
  <si>
    <t>11/8</t>
  </si>
  <si>
    <t>WED</t>
  </si>
  <si>
    <t>13/8</t>
  </si>
  <si>
    <t>THU</t>
  </si>
  <si>
    <t>14/8</t>
  </si>
  <si>
    <t>FRI</t>
  </si>
  <si>
    <t>SSI</t>
  </si>
  <si>
    <t>15/8</t>
  </si>
  <si>
    <t>UR P/L</t>
  </si>
  <si>
    <t>CASH MANAGEMENT</t>
  </si>
  <si>
    <t>BEGINING CASH</t>
  </si>
  <si>
    <t>AVAILABLE ENDING CASH</t>
  </si>
  <si>
    <t>WITHDRAW</t>
  </si>
  <si>
    <t>DEPOSIT</t>
  </si>
  <si>
    <t>BEGINNING CASH</t>
  </si>
  <si>
    <t>ENDING SPENDABLE CASH</t>
  </si>
  <si>
    <t>TRANSFER TO FUND</t>
  </si>
  <si>
    <t>RECEIVE FROM FUND</t>
  </si>
  <si>
    <t>PORTFOLIO STATUS</t>
  </si>
  <si>
    <t>@</t>
  </si>
  <si>
    <t>BEG. ISSUED UNIT</t>
  </si>
  <si>
    <t>RECEIVE FROM FUND(WAITING)</t>
  </si>
  <si>
    <t>TRANSFER TO FUND (WAITING)</t>
  </si>
  <si>
    <t>UNITS IN REDEMPTION</t>
  </si>
  <si>
    <t>UNITS IN SUBCRIPTION</t>
  </si>
  <si>
    <t>18/8</t>
  </si>
  <si>
    <t>TUE</t>
  </si>
  <si>
    <t>LPN</t>
  </si>
  <si>
    <t>19/8</t>
  </si>
  <si>
    <t>20/8</t>
  </si>
  <si>
    <t>21/8</t>
  </si>
  <si>
    <t>22/8</t>
  </si>
  <si>
    <t>25/8</t>
  </si>
  <si>
    <t>26/8</t>
  </si>
  <si>
    <t>27/8</t>
  </si>
  <si>
    <t>28/8</t>
  </si>
  <si>
    <t>29/8</t>
  </si>
  <si>
    <t>REALIZE P/L</t>
  </si>
  <si>
    <t>1/9</t>
  </si>
  <si>
    <t>2/9</t>
  </si>
  <si>
    <t>3/9</t>
  </si>
  <si>
    <t>4/9</t>
  </si>
  <si>
    <t>5/9</t>
  </si>
  <si>
    <t>REMAINDER ISSUED UNIT</t>
  </si>
  <si>
    <t>8/9</t>
  </si>
  <si>
    <t>9/9</t>
  </si>
  <si>
    <t>10/9</t>
  </si>
  <si>
    <t>11/9</t>
  </si>
  <si>
    <t>RCI</t>
  </si>
  <si>
    <t>12/9</t>
  </si>
  <si>
    <t>15/9</t>
  </si>
  <si>
    <t>16/9</t>
  </si>
  <si>
    <t>17/9</t>
  </si>
  <si>
    <t>18/9</t>
  </si>
  <si>
    <t>19/9</t>
  </si>
  <si>
    <t>22/9</t>
  </si>
  <si>
    <t>23/9</t>
  </si>
  <si>
    <t>24/9</t>
  </si>
  <si>
    <t>25/9</t>
  </si>
  <si>
    <t>26/9</t>
  </si>
  <si>
    <t>29/9</t>
  </si>
  <si>
    <t>30/9</t>
  </si>
  <si>
    <t>1/10</t>
  </si>
  <si>
    <t>2/10</t>
  </si>
  <si>
    <t>3/10</t>
  </si>
  <si>
    <t>6/10</t>
  </si>
  <si>
    <t>7/10</t>
  </si>
  <si>
    <t>8/10</t>
  </si>
  <si>
    <t>9/10</t>
  </si>
  <si>
    <t>10/10</t>
  </si>
  <si>
    <t>13/10</t>
  </si>
  <si>
    <t>14/10</t>
  </si>
  <si>
    <t>15/10</t>
  </si>
  <si>
    <t>16/10</t>
  </si>
  <si>
    <t>17/10</t>
  </si>
  <si>
    <t>20/10</t>
  </si>
  <si>
    <t>27/10</t>
  </si>
  <si>
    <t>3/11</t>
  </si>
  <si>
    <t>KTP</t>
  </si>
  <si>
    <t>10/11</t>
  </si>
  <si>
    <t>17/11</t>
  </si>
  <si>
    <t>24/11</t>
  </si>
  <si>
    <t>1/12</t>
  </si>
  <si>
    <t>QH</t>
  </si>
  <si>
    <t>8/12</t>
  </si>
  <si>
    <t>15/12</t>
  </si>
  <si>
    <t>TTTM</t>
  </si>
  <si>
    <t>22/12</t>
  </si>
  <si>
    <t>AP</t>
  </si>
  <si>
    <t>BBL-F</t>
  </si>
  <si>
    <t>SVOA</t>
  </si>
  <si>
    <t>TPI</t>
  </si>
  <si>
    <t>29/12</t>
  </si>
  <si>
    <t>30/12</t>
  </si>
  <si>
    <t>31/12</t>
  </si>
  <si>
    <t>5/1</t>
  </si>
  <si>
    <t>NPC</t>
  </si>
  <si>
    <t>DELTA</t>
  </si>
  <si>
    <t>12/1</t>
  </si>
  <si>
    <t>ADVANC</t>
  </si>
  <si>
    <t>BANPU</t>
  </si>
  <si>
    <t>SIRI</t>
  </si>
  <si>
    <t>SIM</t>
  </si>
  <si>
    <t>19/1</t>
  </si>
  <si>
    <t>LH</t>
  </si>
  <si>
    <t>KCE</t>
  </si>
  <si>
    <t>26/1</t>
  </si>
  <si>
    <t>BCP-DR1</t>
  </si>
  <si>
    <t>2/2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</si>
</sst>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/d"/>
    <numFmt numFmtId="204" formatCode="00000"/>
    <numFmt numFmtId="205" formatCode="_-* #,##0.000_-;\-* #,##0.000_-;_-* &quot;-&quot;???_-;_-@_-"/>
    <numFmt numFmtId="206" formatCode="_-* #,##0.0000_-;\-* #,##0.0000_-;_-* &quot;-&quot;????_-;_-@_-"/>
    <numFmt numFmtId="207" formatCode="0.00000"/>
    <numFmt numFmtId="208" formatCode="0.0000"/>
    <numFmt numFmtId="209" formatCode="0.000"/>
    <numFmt numFmtId="210" formatCode="d\-mmm\-yy"/>
    <numFmt numFmtId="211" formatCode="_-* #,##0.000000000000_-;\-* #,##0.000000000000_-;_-* &quot;-&quot;????????????_-;_-@_-"/>
    <numFmt numFmtId="212" formatCode="_-* #,##0.00000000000_-;\-* #,##0.00000000000_-;_-* &quot;-&quot;???????????_-;_-@_-"/>
    <numFmt numFmtId="213" formatCode="d\-mmm"/>
    <numFmt numFmtId="214" formatCode="d\-mmm\-yyyy"/>
    <numFmt numFmtId="215" formatCode="_-* #,##0.0000000000_-;\-* #,##0.0000000000_-;_-* &quot;-&quot;??????????_-;_-@_-"/>
  </numFmts>
  <fonts count="28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0.5"/>
      <name val="Cordia New"/>
      <family val="2"/>
    </font>
    <font>
      <b/>
      <sz val="10"/>
      <name val="Cordia New"/>
      <family val="2"/>
    </font>
    <font>
      <sz val="29"/>
      <name val="Cordia New"/>
      <family val="0"/>
    </font>
    <font>
      <sz val="20.25"/>
      <name val="Cordia New"/>
      <family val="0"/>
    </font>
    <font>
      <sz val="15.25"/>
      <name val="Cordia New"/>
      <family val="2"/>
    </font>
    <font>
      <b/>
      <sz val="25"/>
      <name val="Cordia New"/>
      <family val="0"/>
    </font>
    <font>
      <b/>
      <sz val="11.75"/>
      <name val="Cordia New"/>
      <family val="2"/>
    </font>
    <font>
      <sz val="23.5"/>
      <name val="Cordia New"/>
      <family val="0"/>
    </font>
    <font>
      <sz val="24"/>
      <name val="Cordia New"/>
      <family val="0"/>
    </font>
    <font>
      <sz val="15"/>
      <name val="Cordia New"/>
      <family val="2"/>
    </font>
    <font>
      <sz val="12"/>
      <name val="Cordia New"/>
      <family val="2"/>
    </font>
    <font>
      <b/>
      <sz val="24"/>
      <name val="Cordia New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u val="singleAccounting"/>
      <sz val="8"/>
      <color indexed="9"/>
      <name val="Arial"/>
      <family val="2"/>
    </font>
    <font>
      <u val="single"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Accounting"/>
      <sz val="8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98" fontId="17" fillId="0" borderId="0" xfId="15" applyNumberFormat="1" applyFont="1" applyBorder="1" applyAlignment="1">
      <alignment horizontal="center"/>
    </xf>
    <xf numFmtId="43" fontId="17" fillId="0" borderId="0" xfId="15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98" fontId="17" fillId="0" borderId="1" xfId="15" applyNumberFormat="1" applyFont="1" applyBorder="1" applyAlignment="1">
      <alignment horizontal="center"/>
    </xf>
    <xf numFmtId="43" fontId="17" fillId="0" borderId="1" xfId="15" applyFont="1" applyBorder="1" applyAlignment="1">
      <alignment horizontal="center"/>
    </xf>
    <xf numFmtId="43" fontId="17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center"/>
    </xf>
    <xf numFmtId="43" fontId="17" fillId="2" borderId="1" xfId="15" applyFont="1" applyFill="1" applyBorder="1" applyAlignment="1">
      <alignment horizontal="center"/>
    </xf>
    <xf numFmtId="43" fontId="17" fillId="3" borderId="1" xfId="15" applyFont="1" applyFill="1" applyBorder="1" applyAlignment="1">
      <alignment horizontal="center"/>
    </xf>
    <xf numFmtId="43" fontId="20" fillId="0" borderId="0" xfId="0" applyNumberFormat="1" applyFont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43" fontId="15" fillId="4" borderId="1" xfId="15" applyFont="1" applyFill="1" applyBorder="1" applyAlignment="1">
      <alignment horizontal="center"/>
    </xf>
    <xf numFmtId="210" fontId="17" fillId="0" borderId="0" xfId="0" applyNumberFormat="1" applyFont="1" applyBorder="1" applyAlignment="1">
      <alignment horizontal="center"/>
    </xf>
    <xf numFmtId="43" fontId="16" fillId="0" borderId="0" xfId="15" applyFont="1" applyAlignment="1">
      <alignment horizontal="center"/>
    </xf>
    <xf numFmtId="43" fontId="17" fillId="0" borderId="0" xfId="15" applyFont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210" fontId="17" fillId="0" borderId="1" xfId="0" applyNumberFormat="1" applyFont="1" applyBorder="1" applyAlignment="1">
      <alignment horizontal="center"/>
    </xf>
    <xf numFmtId="3" fontId="17" fillId="0" borderId="1" xfId="15" applyNumberFormat="1" applyFont="1" applyBorder="1" applyAlignment="1">
      <alignment horizontal="center"/>
    </xf>
    <xf numFmtId="49" fontId="21" fillId="5" borderId="3" xfId="0" applyNumberFormat="1" applyFont="1" applyFill="1" applyBorder="1" applyAlignment="1">
      <alignment horizontal="center"/>
    </xf>
    <xf numFmtId="201" fontId="21" fillId="6" borderId="4" xfId="15" applyNumberFormat="1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10" fontId="21" fillId="6" borderId="4" xfId="0" applyNumberFormat="1" applyFont="1" applyFill="1" applyBorder="1" applyAlignment="1">
      <alignment horizontal="center"/>
    </xf>
    <xf numFmtId="43" fontId="21" fillId="7" borderId="5" xfId="15" applyFont="1" applyFill="1" applyBorder="1" applyAlignment="1">
      <alignment horizontal="center"/>
    </xf>
    <xf numFmtId="43" fontId="21" fillId="7" borderId="4" xfId="15" applyFont="1" applyFill="1" applyBorder="1" applyAlignment="1">
      <alignment horizontal="center"/>
    </xf>
    <xf numFmtId="10" fontId="21" fillId="7" borderId="4" xfId="0" applyNumberFormat="1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201" fontId="17" fillId="0" borderId="0" xfId="15" applyNumberFormat="1" applyFont="1" applyBorder="1" applyAlignment="1">
      <alignment horizontal="center"/>
    </xf>
    <xf numFmtId="43" fontId="17" fillId="0" borderId="0" xfId="15" applyNumberFormat="1" applyFont="1" applyAlignment="1">
      <alignment horizontal="center"/>
    </xf>
    <xf numFmtId="10" fontId="17" fillId="0" borderId="0" xfId="15" applyNumberFormat="1" applyFont="1" applyBorder="1" applyAlignment="1">
      <alignment horizontal="center"/>
    </xf>
    <xf numFmtId="10" fontId="17" fillId="0" borderId="6" xfId="15" applyNumberFormat="1" applyFont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201" fontId="17" fillId="0" borderId="0" xfId="15" applyNumberFormat="1" applyFont="1" applyFill="1" applyBorder="1" applyAlignment="1">
      <alignment horizontal="center"/>
    </xf>
    <xf numFmtId="43" fontId="17" fillId="0" borderId="0" xfId="15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3" fontId="17" fillId="0" borderId="0" xfId="0" applyNumberFormat="1" applyFont="1" applyFill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43" fontId="17" fillId="0" borderId="0" xfId="15" applyFont="1" applyFill="1" applyAlignment="1">
      <alignment horizontal="center"/>
    </xf>
    <xf numFmtId="10" fontId="17" fillId="0" borderId="6" xfId="0" applyNumberFormat="1" applyFont="1" applyBorder="1" applyAlignment="1">
      <alignment horizontal="center"/>
    </xf>
    <xf numFmtId="0" fontId="21" fillId="8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198" fontId="21" fillId="9" borderId="0" xfId="15" applyNumberFormat="1" applyFont="1" applyFill="1" applyAlignment="1">
      <alignment horizontal="center" vertical="center"/>
    </xf>
    <xf numFmtId="43" fontId="21" fillId="9" borderId="0" xfId="15" applyFont="1" applyFill="1" applyAlignment="1">
      <alignment horizontal="center" vertical="center"/>
    </xf>
    <xf numFmtId="10" fontId="21" fillId="9" borderId="0" xfId="0" applyNumberFormat="1" applyFont="1" applyFill="1" applyAlignment="1">
      <alignment horizontal="center" vertical="center"/>
    </xf>
    <xf numFmtId="43" fontId="21" fillId="8" borderId="0" xfId="15" applyFont="1" applyFill="1" applyAlignment="1">
      <alignment horizontal="center" vertical="center"/>
    </xf>
    <xf numFmtId="10" fontId="21" fillId="8" borderId="0" xfId="0" applyNumberFormat="1" applyFont="1" applyFill="1" applyAlignment="1">
      <alignment horizontal="center" vertical="center"/>
    </xf>
    <xf numFmtId="0" fontId="21" fillId="9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8" borderId="0" xfId="0" applyFont="1" applyFill="1" applyBorder="1" applyAlignment="1">
      <alignment horizontal="left" vertical="center"/>
    </xf>
    <xf numFmtId="10" fontId="21" fillId="10" borderId="0" xfId="0" applyNumberFormat="1" applyFont="1" applyFill="1" applyAlignment="1">
      <alignment horizontal="center" vertical="center"/>
    </xf>
    <xf numFmtId="16" fontId="21" fillId="11" borderId="0" xfId="0" applyNumberFormat="1" applyFont="1" applyFill="1" applyAlignment="1">
      <alignment horizontal="center" vertical="center"/>
    </xf>
    <xf numFmtId="213" fontId="21" fillId="11" borderId="0" xfId="0" applyNumberFormat="1" applyFont="1" applyFill="1" applyAlignment="1">
      <alignment horizontal="center"/>
    </xf>
    <xf numFmtId="0" fontId="21" fillId="9" borderId="0" xfId="0" applyFont="1" applyFill="1" applyBorder="1" applyAlignment="1" quotePrefix="1">
      <alignment horizontal="center" vertic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43" fontId="17" fillId="5" borderId="0" xfId="15" applyFont="1" applyFill="1" applyAlignment="1">
      <alignment horizontal="center" vertical="center"/>
    </xf>
    <xf numFmtId="43" fontId="17" fillId="5" borderId="0" xfId="15" applyFont="1" applyFill="1" applyBorder="1" applyAlignment="1">
      <alignment horizontal="center"/>
    </xf>
    <xf numFmtId="43" fontId="15" fillId="5" borderId="0" xfId="15" applyFont="1" applyFill="1" applyBorder="1" applyAlignment="1">
      <alignment horizontal="center"/>
    </xf>
    <xf numFmtId="43" fontId="18" fillId="5" borderId="0" xfId="15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43" fontId="17" fillId="5" borderId="0" xfId="0" applyNumberFormat="1" applyFont="1" applyFill="1" applyAlignment="1">
      <alignment horizontal="center" vertical="center"/>
    </xf>
    <xf numFmtId="0" fontId="21" fillId="9" borderId="0" xfId="0" applyFont="1" applyFill="1" applyBorder="1" applyAlignment="1">
      <alignment horizontal="left" vertical="center"/>
    </xf>
    <xf numFmtId="0" fontId="21" fillId="12" borderId="0" xfId="0" applyFont="1" applyFill="1" applyAlignment="1">
      <alignment horizontal="left"/>
    </xf>
    <xf numFmtId="0" fontId="17" fillId="12" borderId="0" xfId="0" applyFont="1" applyFill="1" applyAlignment="1">
      <alignment horizontal="center"/>
    </xf>
    <xf numFmtId="213" fontId="21" fillId="5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 vertical="center"/>
    </xf>
    <xf numFmtId="201" fontId="21" fillId="5" borderId="0" xfId="0" applyNumberFormat="1" applyFont="1" applyFill="1" applyAlignment="1">
      <alignment horizontal="center" vertical="center"/>
    </xf>
    <xf numFmtId="43" fontId="23" fillId="10" borderId="0" xfId="15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198" fontId="17" fillId="5" borderId="0" xfId="15" applyNumberFormat="1" applyFont="1" applyFill="1" applyBorder="1" applyAlignment="1">
      <alignment horizontal="center"/>
    </xf>
    <xf numFmtId="43" fontId="22" fillId="5" borderId="0" xfId="15" applyFont="1" applyFill="1" applyBorder="1" applyAlignment="1">
      <alignment horizontal="center"/>
    </xf>
    <xf numFmtId="0" fontId="21" fillId="8" borderId="0" xfId="0" applyFont="1" applyFill="1" applyAlignment="1">
      <alignment horizontal="left"/>
    </xf>
    <xf numFmtId="0" fontId="21" fillId="8" borderId="0" xfId="0" applyFont="1" applyFill="1" applyAlignment="1">
      <alignment horizontal="center"/>
    </xf>
    <xf numFmtId="43" fontId="21" fillId="12" borderId="0" xfId="15" applyFont="1" applyFill="1" applyAlignment="1">
      <alignment horizontal="center" vertical="center"/>
    </xf>
    <xf numFmtId="198" fontId="21" fillId="9" borderId="0" xfId="15" applyNumberFormat="1" applyFont="1" applyFill="1" applyAlignment="1">
      <alignment horizontal="center"/>
    </xf>
    <xf numFmtId="198" fontId="21" fillId="8" borderId="0" xfId="15" applyNumberFormat="1" applyFont="1" applyFill="1" applyAlignment="1">
      <alignment horizontal="center"/>
    </xf>
    <xf numFmtId="43" fontId="21" fillId="9" borderId="0" xfId="15" applyFont="1" applyFill="1" applyBorder="1" applyAlignment="1">
      <alignment vertical="center"/>
    </xf>
    <xf numFmtId="201" fontId="24" fillId="10" borderId="0" xfId="15" applyNumberFormat="1" applyFont="1" applyFill="1" applyAlignment="1">
      <alignment horizontal="center"/>
    </xf>
    <xf numFmtId="43" fontId="27" fillId="3" borderId="0" xfId="15" applyFont="1" applyFill="1" applyAlignment="1">
      <alignment horizontal="center" vertical="center"/>
    </xf>
    <xf numFmtId="43" fontId="21" fillId="13" borderId="0" xfId="15" applyFont="1" applyFill="1" applyAlignment="1">
      <alignment horizontal="center"/>
    </xf>
    <xf numFmtId="43" fontId="21" fillId="14" borderId="0" xfId="15" applyFont="1" applyFill="1" applyAlignment="1">
      <alignment horizontal="center" vertical="center"/>
    </xf>
    <xf numFmtId="43" fontId="15" fillId="4" borderId="7" xfId="15" applyFont="1" applyFill="1" applyBorder="1" applyAlignment="1">
      <alignment horizontal="center"/>
    </xf>
    <xf numFmtId="43" fontId="15" fillId="4" borderId="5" xfId="15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98" fontId="16" fillId="0" borderId="0" xfId="15" applyNumberFormat="1" applyFont="1" applyBorder="1" applyAlignment="1">
      <alignment horizontal="center"/>
    </xf>
    <xf numFmtId="3" fontId="16" fillId="0" borderId="0" xfId="15" applyNumberFormat="1" applyFont="1" applyBorder="1" applyAlignment="1">
      <alignment horizontal="center"/>
    </xf>
    <xf numFmtId="43" fontId="16" fillId="0" borderId="0" xfId="15" applyFont="1" applyBorder="1" applyAlignment="1">
      <alignment horizontal="center"/>
    </xf>
    <xf numFmtId="16" fontId="17" fillId="15" borderId="0" xfId="0" applyNumberFormat="1" applyFont="1" applyFill="1" applyAlignment="1">
      <alignment horizontal="center"/>
    </xf>
    <xf numFmtId="210" fontId="15" fillId="4" borderId="1" xfId="0" applyNumberFormat="1" applyFont="1" applyFill="1" applyBorder="1" applyAlignment="1">
      <alignment horizontal="center"/>
    </xf>
    <xf numFmtId="3" fontId="15" fillId="4" borderId="1" xfId="15" applyNumberFormat="1" applyFont="1" applyFill="1" applyBorder="1" applyAlignment="1">
      <alignment horizontal="center"/>
    </xf>
    <xf numFmtId="201" fontId="21" fillId="9" borderId="0" xfId="15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/>
    </xf>
    <xf numFmtId="43" fontId="21" fillId="16" borderId="0" xfId="15" applyFont="1" applyFill="1" applyAlignment="1">
      <alignment horizontal="center" vertical="center"/>
    </xf>
    <xf numFmtId="43" fontId="21" fillId="12" borderId="0" xfId="15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1" fillId="9" borderId="0" xfId="0" applyFont="1" applyFill="1" applyAlignment="1">
      <alignment vertical="center"/>
    </xf>
    <xf numFmtId="0" fontId="21" fillId="8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vertical="center"/>
    </xf>
    <xf numFmtId="0" fontId="21" fillId="12" borderId="0" xfId="0" applyFont="1" applyFill="1" applyBorder="1" applyAlignment="1">
      <alignment vertical="center"/>
    </xf>
    <xf numFmtId="0" fontId="21" fillId="13" borderId="0" xfId="0" applyFont="1" applyFill="1" applyBorder="1" applyAlignment="1">
      <alignment vertical="center"/>
    </xf>
    <xf numFmtId="0" fontId="21" fillId="8" borderId="0" xfId="0" applyFont="1" applyFill="1" applyAlignment="1">
      <alignment horizontal="left" vertical="center"/>
    </xf>
    <xf numFmtId="15" fontId="22" fillId="5" borderId="0" xfId="15" applyNumberFormat="1" applyFont="1" applyFill="1" applyBorder="1" applyAlignment="1">
      <alignment horizontal="left"/>
    </xf>
    <xf numFmtId="0" fontId="25" fillId="8" borderId="8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vertical="center"/>
    </xf>
    <xf numFmtId="43" fontId="25" fillId="12" borderId="0" xfId="15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Cordia New"/>
                <a:ea typeface="Cordia New"/>
                <a:cs typeface="Cordia New"/>
              </a:rPr>
              <a:t>PERCENTAGE CHANGE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87"/>
          <c:w val="0.854"/>
          <c:h val="0.731"/>
        </c:manualLayout>
      </c:layout>
      <c:lineChart>
        <c:grouping val="standard"/>
        <c:varyColors val="0"/>
        <c:ser>
          <c:idx val="0"/>
          <c:order val="0"/>
          <c:tx>
            <c:v>% CHANGE OF NAV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  <c:pt idx="302">
                  <c:v>16/1</c:v>
                </c:pt>
                <c:pt idx="303">
                  <c:v>19/1</c:v>
                </c:pt>
                <c:pt idx="304">
                  <c:v>20/1</c:v>
                </c:pt>
                <c:pt idx="305">
                  <c:v>21/1</c:v>
                </c:pt>
                <c:pt idx="306">
                  <c:v>22/1</c:v>
                </c:pt>
                <c:pt idx="307">
                  <c:v>23/1</c:v>
                </c:pt>
                <c:pt idx="308">
                  <c:v>26/1</c:v>
                </c:pt>
                <c:pt idx="309">
                  <c:v>27/1</c:v>
                </c:pt>
                <c:pt idx="310">
                  <c:v>28/1</c:v>
                </c:pt>
                <c:pt idx="311">
                  <c:v>29/1</c:v>
                </c:pt>
                <c:pt idx="312">
                  <c:v>30/1</c:v>
                </c:pt>
                <c:pt idx="313">
                  <c:v>2/2</c:v>
                </c:pt>
              </c:strCache>
            </c:strRef>
          </c:cat>
          <c:val>
            <c:numRef>
              <c:f>'Perf.'!$D$3:$D$500</c:f>
              <c:numCache>
                <c:ptCount val="498"/>
                <c:pt idx="0">
                  <c:v>0</c:v>
                </c:pt>
                <c:pt idx="1">
                  <c:v>0.0165297424820363</c:v>
                </c:pt>
                <c:pt idx="2">
                  <c:v>0.022780721533901635</c:v>
                </c:pt>
                <c:pt idx="3">
                  <c:v>0.010470877585958983</c:v>
                </c:pt>
                <c:pt idx="4">
                  <c:v>0.011242932569015656</c:v>
                </c:pt>
                <c:pt idx="5">
                  <c:v>-0.0036930207422962206</c:v>
                </c:pt>
                <c:pt idx="6">
                  <c:v>0.002665271512524949</c:v>
                </c:pt>
                <c:pt idx="7">
                  <c:v>0.0029904600635737395</c:v>
                </c:pt>
                <c:pt idx="8">
                  <c:v>0.01921439386553047</c:v>
                </c:pt>
                <c:pt idx="9">
                  <c:v>-0.008735360082142393</c:v>
                </c:pt>
                <c:pt idx="10">
                  <c:v>-0.030822750161719398</c:v>
                </c:pt>
                <c:pt idx="11">
                  <c:v>-0.003017759688705034</c:v>
                </c:pt>
                <c:pt idx="12">
                  <c:v>0.011653286333418337</c:v>
                </c:pt>
                <c:pt idx="13">
                  <c:v>-0.0028462837924150487</c:v>
                </c:pt>
                <c:pt idx="14">
                  <c:v>0.004054393282969924</c:v>
                </c:pt>
                <c:pt idx="15">
                  <c:v>-0.017984529958852576</c:v>
                </c:pt>
                <c:pt idx="16">
                  <c:v>-0.0012016401282240914</c:v>
                </c:pt>
                <c:pt idx="17">
                  <c:v>-0.0036092574132132516</c:v>
                </c:pt>
                <c:pt idx="18">
                  <c:v>-0.02906114931188196</c:v>
                </c:pt>
                <c:pt idx="19">
                  <c:v>0.004074633256114305</c:v>
                </c:pt>
                <c:pt idx="20">
                  <c:v>-0.01605497462726543</c:v>
                </c:pt>
                <c:pt idx="21">
                  <c:v>0.00896856744628476</c:v>
                </c:pt>
                <c:pt idx="22">
                  <c:v>0.004710498109871698</c:v>
                </c:pt>
                <c:pt idx="23">
                  <c:v>0.008820425466115226</c:v>
                </c:pt>
                <c:pt idx="24">
                  <c:v>0</c:v>
                </c:pt>
                <c:pt idx="25">
                  <c:v>-0.002622597910381108</c:v>
                </c:pt>
                <c:pt idx="26">
                  <c:v>-0.0029614642914121496</c:v>
                </c:pt>
                <c:pt idx="27">
                  <c:v>-0.0029702606121512235</c:v>
                </c:pt>
                <c:pt idx="28">
                  <c:v>0.013661058053092945</c:v>
                </c:pt>
                <c:pt idx="29">
                  <c:v>0</c:v>
                </c:pt>
                <c:pt idx="30">
                  <c:v>-0.012551462084081354</c:v>
                </c:pt>
                <c:pt idx="31">
                  <c:v>-0.003177750941474915</c:v>
                </c:pt>
                <c:pt idx="32">
                  <c:v>-0.0021252541560451894</c:v>
                </c:pt>
                <c:pt idx="33">
                  <c:v>-0.003194670721295413</c:v>
                </c:pt>
                <c:pt idx="34">
                  <c:v>0.008965235368987818</c:v>
                </c:pt>
                <c:pt idx="35">
                  <c:v>0.007411674414248743</c:v>
                </c:pt>
                <c:pt idx="36">
                  <c:v>-0.00560544430179166</c:v>
                </c:pt>
                <c:pt idx="37">
                  <c:v>-0.00581320000506637</c:v>
                </c:pt>
                <c:pt idx="38">
                  <c:v>0.0032575161164972266</c:v>
                </c:pt>
                <c:pt idx="39">
                  <c:v>0.00160600757003349</c:v>
                </c:pt>
                <c:pt idx="40">
                  <c:v>0.0004957316307553574</c:v>
                </c:pt>
                <c:pt idx="41">
                  <c:v>-0.0023562814474334163</c:v>
                </c:pt>
                <c:pt idx="42">
                  <c:v>-5.171506333303722E-06</c:v>
                </c:pt>
                <c:pt idx="43">
                  <c:v>0.001397190396525351</c:v>
                </c:pt>
                <c:pt idx="44">
                  <c:v>0.02708696849920195</c:v>
                </c:pt>
                <c:pt idx="45">
                  <c:v>0.026754228239548625</c:v>
                </c:pt>
                <c:pt idx="46">
                  <c:v>0.00035292109580283644</c:v>
                </c:pt>
                <c:pt idx="47">
                  <c:v>-0.0015336966727098422</c:v>
                </c:pt>
                <c:pt idx="48">
                  <c:v>0.0015303452228933602</c:v>
                </c:pt>
                <c:pt idx="49">
                  <c:v>0.0034082342501866743</c:v>
                </c:pt>
                <c:pt idx="50">
                  <c:v>-0.008078848309530798</c:v>
                </c:pt>
                <c:pt idx="51">
                  <c:v>-0.03883792302329507</c:v>
                </c:pt>
                <c:pt idx="52">
                  <c:v>-0.009619262171482058</c:v>
                </c:pt>
                <c:pt idx="53">
                  <c:v>0.019214333807906013</c:v>
                </c:pt>
                <c:pt idx="54">
                  <c:v>0.038867763438918984</c:v>
                </c:pt>
                <c:pt idx="55">
                  <c:v>0.023485603168873895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0.0016147645594413972</c:v>
                </c:pt>
                <c:pt idx="64">
                  <c:v>0.020778899759908643</c:v>
                </c:pt>
                <c:pt idx="65">
                  <c:v>-0.00912601533465642</c:v>
                </c:pt>
                <c:pt idx="66">
                  <c:v>0.001203138666906898</c:v>
                </c:pt>
                <c:pt idx="67">
                  <c:v>0</c:v>
                </c:pt>
                <c:pt idx="68">
                  <c:v>0.0017315958150911875</c:v>
                </c:pt>
                <c:pt idx="69">
                  <c:v>2.2264660928334562E-15</c:v>
                </c:pt>
                <c:pt idx="70">
                  <c:v>0</c:v>
                </c:pt>
                <c:pt idx="71">
                  <c:v>-0.001728602574110129</c:v>
                </c:pt>
                <c:pt idx="72">
                  <c:v>0.0069263832603645905</c:v>
                </c:pt>
                <c:pt idx="73">
                  <c:v>-0.0034393692406475816</c:v>
                </c:pt>
                <c:pt idx="74">
                  <c:v>-0.001977190161532875</c:v>
                </c:pt>
                <c:pt idx="75">
                  <c:v>0.01059912172714806</c:v>
                </c:pt>
                <c:pt idx="76">
                  <c:v>0.0022838488847602796</c:v>
                </c:pt>
                <c:pt idx="77">
                  <c:v>-0.033385223169574534</c:v>
                </c:pt>
                <c:pt idx="78">
                  <c:v>0.0007305095652438775</c:v>
                </c:pt>
                <c:pt idx="79">
                  <c:v>0.012119218230384414</c:v>
                </c:pt>
                <c:pt idx="80">
                  <c:v>-0.01062463520766391</c:v>
                </c:pt>
                <c:pt idx="81">
                  <c:v>-0.017261425222125204</c:v>
                </c:pt>
                <c:pt idx="82">
                  <c:v>-0.009218308854189955</c:v>
                </c:pt>
                <c:pt idx="83">
                  <c:v>-0.0033890514316329565</c:v>
                </c:pt>
                <c:pt idx="84">
                  <c:v>-0.04064509315139837</c:v>
                </c:pt>
                <c:pt idx="85">
                  <c:v>-0.00986751349610809</c:v>
                </c:pt>
                <c:pt idx="86">
                  <c:v>0.004775374345156938</c:v>
                </c:pt>
                <c:pt idx="87">
                  <c:v>0.010069947476305224</c:v>
                </c:pt>
                <c:pt idx="88">
                  <c:v>0.027727359981855937</c:v>
                </c:pt>
                <c:pt idx="89">
                  <c:v>0.004572170325626351</c:v>
                </c:pt>
                <c:pt idx="90">
                  <c:v>-0.0033449084459687742</c:v>
                </c:pt>
                <c:pt idx="91">
                  <c:v>-0.00444991937070694</c:v>
                </c:pt>
                <c:pt idx="92">
                  <c:v>-0.006550372732230861</c:v>
                </c:pt>
                <c:pt idx="93">
                  <c:v>-0.008749799733069361</c:v>
                </c:pt>
                <c:pt idx="94">
                  <c:v>-0.005175650208919592</c:v>
                </c:pt>
                <c:pt idx="95">
                  <c:v>0</c:v>
                </c:pt>
                <c:pt idx="96">
                  <c:v>-7.38354246706918E-06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-0.015297437914604204</c:v>
                </c:pt>
                <c:pt idx="102">
                  <c:v>-0.01945340996653143</c:v>
                </c:pt>
                <c:pt idx="103">
                  <c:v>-0.05966755007320447</c:v>
                </c:pt>
                <c:pt idx="104">
                  <c:v>0.007663075399842655</c:v>
                </c:pt>
                <c:pt idx="105">
                  <c:v>0.011085214331648236</c:v>
                </c:pt>
                <c:pt idx="106">
                  <c:v>0</c:v>
                </c:pt>
                <c:pt idx="107">
                  <c:v>0</c:v>
                </c:pt>
                <c:pt idx="108">
                  <c:v>-0.07694252443540091</c:v>
                </c:pt>
                <c:pt idx="109">
                  <c:v>0.016791066352928784</c:v>
                </c:pt>
                <c:pt idx="110">
                  <c:v>0.032697479572792176</c:v>
                </c:pt>
                <c:pt idx="111">
                  <c:v>0.00697040083903419</c:v>
                </c:pt>
                <c:pt idx="112">
                  <c:v>0.015360521088297066</c:v>
                </c:pt>
                <c:pt idx="113">
                  <c:v>-0.0074470412145712225</c:v>
                </c:pt>
                <c:pt idx="114">
                  <c:v>-0.0034367000481092687</c:v>
                </c:pt>
                <c:pt idx="115">
                  <c:v>0</c:v>
                </c:pt>
                <c:pt idx="116">
                  <c:v>0</c:v>
                </c:pt>
                <c:pt idx="117">
                  <c:v>0.008169836229976163</c:v>
                </c:pt>
                <c:pt idx="118">
                  <c:v>-0.010418954004918709</c:v>
                </c:pt>
                <c:pt idx="119">
                  <c:v>-0.005849250856143702</c:v>
                </c:pt>
                <c:pt idx="120">
                  <c:v>-0.004579453287427254</c:v>
                </c:pt>
                <c:pt idx="121">
                  <c:v>-0.003940489215566439</c:v>
                </c:pt>
                <c:pt idx="122">
                  <c:v>0.0032110694711122998</c:v>
                </c:pt>
                <c:pt idx="123">
                  <c:v>-0.0050147936477783666</c:v>
                </c:pt>
                <c:pt idx="124">
                  <c:v>-0.012279280033492606</c:v>
                </c:pt>
                <c:pt idx="125">
                  <c:v>-0.005416179789606482</c:v>
                </c:pt>
                <c:pt idx="126">
                  <c:v>0.017062844128350938</c:v>
                </c:pt>
                <c:pt idx="127">
                  <c:v>0.012064004329281775</c:v>
                </c:pt>
                <c:pt idx="128">
                  <c:v>0.0032136307612549123</c:v>
                </c:pt>
                <c:pt idx="129">
                  <c:v>0.00784285186632828</c:v>
                </c:pt>
                <c:pt idx="130">
                  <c:v>0.0032028937145490424</c:v>
                </c:pt>
                <c:pt idx="131">
                  <c:v>-0.003487522236296443</c:v>
                </c:pt>
                <c:pt idx="132">
                  <c:v>0.00287712002218259</c:v>
                </c:pt>
                <c:pt idx="133">
                  <c:v>-0.0063108410131297536</c:v>
                </c:pt>
                <c:pt idx="134">
                  <c:v>-0.00223230954788226</c:v>
                </c:pt>
                <c:pt idx="135">
                  <c:v>0.0030306145782613134</c:v>
                </c:pt>
                <c:pt idx="136">
                  <c:v>-0.02669217633745993</c:v>
                </c:pt>
                <c:pt idx="137">
                  <c:v>-0.020396262078342615</c:v>
                </c:pt>
                <c:pt idx="138">
                  <c:v>0.007018291432182685</c:v>
                </c:pt>
                <c:pt idx="139">
                  <c:v>0.0023231261013808937</c:v>
                </c:pt>
                <c:pt idx="140">
                  <c:v>0.005639838124871766</c:v>
                </c:pt>
                <c:pt idx="141">
                  <c:v>0.0007180919479358783</c:v>
                </c:pt>
                <c:pt idx="142">
                  <c:v>-0.01159221707911209</c:v>
                </c:pt>
                <c:pt idx="143">
                  <c:v>-0.0027961206203093855</c:v>
                </c:pt>
                <c:pt idx="144">
                  <c:v>0.0024145218284280525</c:v>
                </c:pt>
                <c:pt idx="145">
                  <c:v>-0.0004662011526426583</c:v>
                </c:pt>
                <c:pt idx="146">
                  <c:v>0.00885837281297903</c:v>
                </c:pt>
                <c:pt idx="147">
                  <c:v>0.006626632054041446</c:v>
                </c:pt>
                <c:pt idx="148">
                  <c:v>-0.003848151421335226</c:v>
                </c:pt>
                <c:pt idx="149">
                  <c:v>0.0006646860308775419</c:v>
                </c:pt>
                <c:pt idx="150">
                  <c:v>0.0018929048947701342</c:v>
                </c:pt>
                <c:pt idx="151">
                  <c:v>0.005211940897825557</c:v>
                </c:pt>
                <c:pt idx="152">
                  <c:v>-0.0010674829971439525</c:v>
                </c:pt>
                <c:pt idx="153">
                  <c:v>0.007774451395500023</c:v>
                </c:pt>
                <c:pt idx="154">
                  <c:v>-0.0055556330684820715</c:v>
                </c:pt>
                <c:pt idx="155">
                  <c:v>-0.006093164891821415</c:v>
                </c:pt>
                <c:pt idx="156">
                  <c:v>0.0027587336201599514</c:v>
                </c:pt>
                <c:pt idx="157">
                  <c:v>0.017271070333064565</c:v>
                </c:pt>
                <c:pt idx="158">
                  <c:v>0.008864538425861806</c:v>
                </c:pt>
                <c:pt idx="159">
                  <c:v>-0.01191108883267055</c:v>
                </c:pt>
                <c:pt idx="160">
                  <c:v>0.02574700174054619</c:v>
                </c:pt>
                <c:pt idx="161">
                  <c:v>0.0011755063074462412</c:v>
                </c:pt>
                <c:pt idx="162">
                  <c:v>-0.0019813378187124066</c:v>
                </c:pt>
                <c:pt idx="163">
                  <c:v>0.00012499337315754902</c:v>
                </c:pt>
                <c:pt idx="164">
                  <c:v>0.022480626880099237</c:v>
                </c:pt>
                <c:pt idx="165">
                  <c:v>0.005556135406193372</c:v>
                </c:pt>
                <c:pt idx="166">
                  <c:v>-0.001143485159838092</c:v>
                </c:pt>
                <c:pt idx="167">
                  <c:v>0.000737568110090906</c:v>
                </c:pt>
                <c:pt idx="168">
                  <c:v>0.02049259783037184</c:v>
                </c:pt>
                <c:pt idx="169">
                  <c:v>-0.004602670165186532</c:v>
                </c:pt>
                <c:pt idx="170">
                  <c:v>0.0016687967030580364</c:v>
                </c:pt>
                <c:pt idx="171">
                  <c:v>-0.005832903267482223</c:v>
                </c:pt>
                <c:pt idx="172">
                  <c:v>0.015712363901338323</c:v>
                </c:pt>
                <c:pt idx="173">
                  <c:v>0.0006076879396420613</c:v>
                </c:pt>
                <c:pt idx="174">
                  <c:v>-0.00458922956431118</c:v>
                </c:pt>
                <c:pt idx="175">
                  <c:v>0.006397873173359203</c:v>
                </c:pt>
                <c:pt idx="176">
                  <c:v>0.020516202002668606</c:v>
                </c:pt>
                <c:pt idx="177">
                  <c:v>0.02104355487642921</c:v>
                </c:pt>
                <c:pt idx="178">
                  <c:v>0.008814232223238358</c:v>
                </c:pt>
                <c:pt idx="179">
                  <c:v>-0.003590493405490807</c:v>
                </c:pt>
                <c:pt idx="180">
                  <c:v>-0.003079270757927297</c:v>
                </c:pt>
                <c:pt idx="181">
                  <c:v>0.004097924935491966</c:v>
                </c:pt>
                <c:pt idx="182">
                  <c:v>-0.013993263418279448</c:v>
                </c:pt>
                <c:pt idx="183">
                  <c:v>-0.019626588341099337</c:v>
                </c:pt>
                <c:pt idx="184">
                  <c:v>0.009934294015474184</c:v>
                </c:pt>
                <c:pt idx="185">
                  <c:v>-0.0002145697287969832</c:v>
                </c:pt>
                <c:pt idx="186">
                  <c:v>-0.0011333601735186978</c:v>
                </c:pt>
                <c:pt idx="187">
                  <c:v>-0.022919851952461368</c:v>
                </c:pt>
                <c:pt idx="188">
                  <c:v>0.012309378169635796</c:v>
                </c:pt>
                <c:pt idx="189">
                  <c:v>0.009100655844652177</c:v>
                </c:pt>
                <c:pt idx="190">
                  <c:v>0.02635184305552158</c:v>
                </c:pt>
                <c:pt idx="191">
                  <c:v>-0.013734343942591633</c:v>
                </c:pt>
                <c:pt idx="192">
                  <c:v>0.030554794359969707</c:v>
                </c:pt>
                <c:pt idx="193">
                  <c:v>0.0015489323642183365</c:v>
                </c:pt>
                <c:pt idx="194">
                  <c:v>0.026404099300281238</c:v>
                </c:pt>
                <c:pt idx="195">
                  <c:v>0.04463570940044526</c:v>
                </c:pt>
                <c:pt idx="196">
                  <c:v>0.056948192050614625</c:v>
                </c:pt>
                <c:pt idx="197">
                  <c:v>0.0009923750178971844</c:v>
                </c:pt>
                <c:pt idx="198">
                  <c:v>0.00965204977087868</c:v>
                </c:pt>
                <c:pt idx="199">
                  <c:v>0.03265331850980797</c:v>
                </c:pt>
                <c:pt idx="200">
                  <c:v>0.01110049607945257</c:v>
                </c:pt>
                <c:pt idx="201">
                  <c:v>0.01426897661800823</c:v>
                </c:pt>
                <c:pt idx="202">
                  <c:v>-0.001995682388520212</c:v>
                </c:pt>
                <c:pt idx="203">
                  <c:v>0.0065831435570021185</c:v>
                </c:pt>
                <c:pt idx="204">
                  <c:v>0.0016741053888547407</c:v>
                </c:pt>
                <c:pt idx="205">
                  <c:v>0.0020005720343409714</c:v>
                </c:pt>
                <c:pt idx="206">
                  <c:v>0.005084468702004834</c:v>
                </c:pt>
                <c:pt idx="207">
                  <c:v>0.03134551523297073</c:v>
                </c:pt>
                <c:pt idx="208">
                  <c:v>-0.00014304514422927014</c:v>
                </c:pt>
                <c:pt idx="209">
                  <c:v>-0.001198932723689058</c:v>
                </c:pt>
                <c:pt idx="210">
                  <c:v>0.0105340149624065</c:v>
                </c:pt>
                <c:pt idx="211">
                  <c:v>0.002140898808964765</c:v>
                </c:pt>
                <c:pt idx="212">
                  <c:v>0.028370354354594715</c:v>
                </c:pt>
                <c:pt idx="213">
                  <c:v>0.04277857959247519</c:v>
                </c:pt>
                <c:pt idx="214">
                  <c:v>0.029800541613454436</c:v>
                </c:pt>
                <c:pt idx="215">
                  <c:v>-0.0148550115619959</c:v>
                </c:pt>
                <c:pt idx="216">
                  <c:v>0.011712128969657789</c:v>
                </c:pt>
                <c:pt idx="217">
                  <c:v>0.003745017818954996</c:v>
                </c:pt>
                <c:pt idx="218">
                  <c:v>0.015856243854807564</c:v>
                </c:pt>
                <c:pt idx="219">
                  <c:v>0.013053129859856816</c:v>
                </c:pt>
                <c:pt idx="220">
                  <c:v>-0.006274531695170134</c:v>
                </c:pt>
                <c:pt idx="221">
                  <c:v>-0.051961724760744586</c:v>
                </c:pt>
                <c:pt idx="222">
                  <c:v>-0.0019303362648351887</c:v>
                </c:pt>
                <c:pt idx="223">
                  <c:v>0.01680146698850339</c:v>
                </c:pt>
                <c:pt idx="224">
                  <c:v>0.018752658293768463</c:v>
                </c:pt>
                <c:pt idx="225">
                  <c:v>0.01625783015888359</c:v>
                </c:pt>
                <c:pt idx="226">
                  <c:v>0.041058759223156646</c:v>
                </c:pt>
                <c:pt idx="227">
                  <c:v>0.0002628126967147307</c:v>
                </c:pt>
                <c:pt idx="228">
                  <c:v>0.015345470293703565</c:v>
                </c:pt>
                <c:pt idx="229">
                  <c:v>0.011454916658666794</c:v>
                </c:pt>
                <c:pt idx="230">
                  <c:v>0.003731029274112563</c:v>
                </c:pt>
                <c:pt idx="231">
                  <c:v>-0.015581582510656217</c:v>
                </c:pt>
                <c:pt idx="232">
                  <c:v>0.0003743522870398762</c:v>
                </c:pt>
                <c:pt idx="233">
                  <c:v>-0.006527980249847202</c:v>
                </c:pt>
                <c:pt idx="234">
                  <c:v>-0.021168006214791254</c:v>
                </c:pt>
                <c:pt idx="235">
                  <c:v>-0.001168546297251701</c:v>
                </c:pt>
                <c:pt idx="236">
                  <c:v>0.030409889488356132</c:v>
                </c:pt>
                <c:pt idx="237">
                  <c:v>0.025861052759907754</c:v>
                </c:pt>
                <c:pt idx="238">
                  <c:v>0.00641291402231334</c:v>
                </c:pt>
                <c:pt idx="239">
                  <c:v>0.00902807711528701</c:v>
                </c:pt>
                <c:pt idx="240">
                  <c:v>-0.0020622430249399447</c:v>
                </c:pt>
                <c:pt idx="241">
                  <c:v>0.013217594981702233</c:v>
                </c:pt>
                <c:pt idx="242">
                  <c:v>0.006730419186693779</c:v>
                </c:pt>
                <c:pt idx="243">
                  <c:v>-0.0037596664769546408</c:v>
                </c:pt>
                <c:pt idx="244">
                  <c:v>-0.008800221672239344</c:v>
                </c:pt>
                <c:pt idx="245">
                  <c:v>0.003683190565950302</c:v>
                </c:pt>
                <c:pt idx="246">
                  <c:v>0.01474504562713539</c:v>
                </c:pt>
                <c:pt idx="247">
                  <c:v>0.018604570903049632</c:v>
                </c:pt>
                <c:pt idx="248">
                  <c:v>0.012993785401483826</c:v>
                </c:pt>
                <c:pt idx="249">
                  <c:v>0.0069143213583980605</c:v>
                </c:pt>
                <c:pt idx="250">
                  <c:v>0.035598931300794244</c:v>
                </c:pt>
                <c:pt idx="251">
                  <c:v>-0.0010126658157488333</c:v>
                </c:pt>
                <c:pt idx="252">
                  <c:v>0.006770763853486866</c:v>
                </c:pt>
                <c:pt idx="253">
                  <c:v>-0.0018486163448093534</c:v>
                </c:pt>
                <c:pt idx="254">
                  <c:v>-0.0015227884907591648</c:v>
                </c:pt>
                <c:pt idx="255">
                  <c:v>0.003852047949444434</c:v>
                </c:pt>
                <c:pt idx="256">
                  <c:v>-0.0038864652116788485</c:v>
                </c:pt>
                <c:pt idx="257">
                  <c:v>0.004651293392340471</c:v>
                </c:pt>
                <c:pt idx="258">
                  <c:v>0.018132770597669795</c:v>
                </c:pt>
                <c:pt idx="259">
                  <c:v>-0.014428036415536753</c:v>
                </c:pt>
                <c:pt idx="260">
                  <c:v>0.01281384250261954</c:v>
                </c:pt>
                <c:pt idx="261">
                  <c:v>-0.022642504280829617</c:v>
                </c:pt>
                <c:pt idx="262">
                  <c:v>-0.021165352181109185</c:v>
                </c:pt>
                <c:pt idx="263">
                  <c:v>-0.037100495271655584</c:v>
                </c:pt>
                <c:pt idx="264">
                  <c:v>0.014022355422628198</c:v>
                </c:pt>
                <c:pt idx="265">
                  <c:v>-0.045267235243015395</c:v>
                </c:pt>
                <c:pt idx="266">
                  <c:v>-0.019814571858015106</c:v>
                </c:pt>
                <c:pt idx="267">
                  <c:v>-0.022849263701771174</c:v>
                </c:pt>
                <c:pt idx="268">
                  <c:v>0.015461955996775044</c:v>
                </c:pt>
                <c:pt idx="269">
                  <c:v>0.022253858957513972</c:v>
                </c:pt>
                <c:pt idx="270">
                  <c:v>0.04301516587931326</c:v>
                </c:pt>
                <c:pt idx="271">
                  <c:v>0.02362817052528449</c:v>
                </c:pt>
                <c:pt idx="272">
                  <c:v>0.01610952491968516</c:v>
                </c:pt>
                <c:pt idx="273">
                  <c:v>0.01950960025137785</c:v>
                </c:pt>
                <c:pt idx="274">
                  <c:v>-0.0058933676411863836</c:v>
                </c:pt>
                <c:pt idx="275">
                  <c:v>-0.0024361117248163228</c:v>
                </c:pt>
                <c:pt idx="276">
                  <c:v>-0.008709609599866303</c:v>
                </c:pt>
                <c:pt idx="277">
                  <c:v>-0.0017940292020914516</c:v>
                </c:pt>
                <c:pt idx="278">
                  <c:v>0.026460566592069214</c:v>
                </c:pt>
                <c:pt idx="279">
                  <c:v>-0.012565526554989482</c:v>
                </c:pt>
                <c:pt idx="280">
                  <c:v>-0.0028097965755929347</c:v>
                </c:pt>
                <c:pt idx="281">
                  <c:v>0.00024407605185873844</c:v>
                </c:pt>
                <c:pt idx="282">
                  <c:v>0.004866200948790483</c:v>
                </c:pt>
                <c:pt idx="283">
                  <c:v>-0.0026273737233867456</c:v>
                </c:pt>
                <c:pt idx="284">
                  <c:v>0.0005060437345556437</c:v>
                </c:pt>
                <c:pt idx="285">
                  <c:v>-0.0033112240247190573</c:v>
                </c:pt>
                <c:pt idx="286">
                  <c:v>-0.0172318531096698</c:v>
                </c:pt>
                <c:pt idx="287">
                  <c:v>-0.006397396922852276</c:v>
                </c:pt>
                <c:pt idx="288">
                  <c:v>0.0026204885703739384</c:v>
                </c:pt>
                <c:pt idx="289">
                  <c:v>-0.011925430231208227</c:v>
                </c:pt>
                <c:pt idx="290">
                  <c:v>-0.0032669563197198787</c:v>
                </c:pt>
                <c:pt idx="291">
                  <c:v>0.007666550568068565</c:v>
                </c:pt>
                <c:pt idx="292">
                  <c:v>0.005746802400367172</c:v>
                </c:pt>
                <c:pt idx="293">
                  <c:v>0.003170962597438021</c:v>
                </c:pt>
                <c:pt idx="294">
                  <c:v>0.06169771272530073</c:v>
                </c:pt>
                <c:pt idx="295">
                  <c:v>-0.007543731600258244</c:v>
                </c:pt>
                <c:pt idx="296">
                  <c:v>-0.003068155378428401</c:v>
                </c:pt>
                <c:pt idx="297">
                  <c:v>0.0003828695843774345</c:v>
                </c:pt>
                <c:pt idx="298">
                  <c:v>-0.004210724127618648</c:v>
                </c:pt>
                <c:pt idx="299">
                  <c:v>-0.010882128485055646</c:v>
                </c:pt>
                <c:pt idx="300">
                  <c:v>-0.005299470973029838</c:v>
                </c:pt>
                <c:pt idx="301">
                  <c:v>0.01281985069524388</c:v>
                </c:pt>
                <c:pt idx="302">
                  <c:v>-0.016739540411350968</c:v>
                </c:pt>
                <c:pt idx="303">
                  <c:v>-0.0021383432263879843</c:v>
                </c:pt>
                <c:pt idx="304">
                  <c:v>-0.014285663710202626</c:v>
                </c:pt>
                <c:pt idx="305">
                  <c:v>-0.003954303902401786</c:v>
                </c:pt>
                <c:pt idx="306">
                  <c:v>-0.007700233239841256</c:v>
                </c:pt>
                <c:pt idx="307">
                  <c:v>0.002156559273538073</c:v>
                </c:pt>
                <c:pt idx="308">
                  <c:v>-0.006668042173043694</c:v>
                </c:pt>
                <c:pt idx="309">
                  <c:v>-0.022438435944192075</c:v>
                </c:pt>
                <c:pt idx="310">
                  <c:v>0.0038700085370010308</c:v>
                </c:pt>
                <c:pt idx="311">
                  <c:v>-0.02016667426019368</c:v>
                </c:pt>
                <c:pt idx="312">
                  <c:v>-0.015776941444156208</c:v>
                </c:pt>
                <c:pt idx="313">
                  <c:v>-0.014356745802014986</c:v>
                </c:pt>
                <c:pt idx="314">
                  <c:v>-0.050381867547210066</c:v>
                </c:pt>
              </c:numCache>
            </c:numRef>
          </c:val>
          <c:smooth val="0"/>
        </c:ser>
        <c:ser>
          <c:idx val="1"/>
          <c:order val="1"/>
          <c:tx>
            <c:v>% CHANGE OF SET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  <c:pt idx="302">
                  <c:v>16/1</c:v>
                </c:pt>
                <c:pt idx="303">
                  <c:v>19/1</c:v>
                </c:pt>
                <c:pt idx="304">
                  <c:v>20/1</c:v>
                </c:pt>
                <c:pt idx="305">
                  <c:v>21/1</c:v>
                </c:pt>
                <c:pt idx="306">
                  <c:v>22/1</c:v>
                </c:pt>
                <c:pt idx="307">
                  <c:v>23/1</c:v>
                </c:pt>
                <c:pt idx="308">
                  <c:v>26/1</c:v>
                </c:pt>
                <c:pt idx="309">
                  <c:v>27/1</c:v>
                </c:pt>
                <c:pt idx="310">
                  <c:v>28/1</c:v>
                </c:pt>
                <c:pt idx="311">
                  <c:v>29/1</c:v>
                </c:pt>
                <c:pt idx="312">
                  <c:v>30/1</c:v>
                </c:pt>
                <c:pt idx="313">
                  <c:v>2/2</c:v>
                </c:pt>
              </c:strCache>
            </c:strRef>
          </c:cat>
          <c:val>
            <c:numRef>
              <c:f>'Perf.'!$H$3:$H$500</c:f>
              <c:numCache>
                <c:ptCount val="498"/>
                <c:pt idx="0">
                  <c:v>0</c:v>
                </c:pt>
                <c:pt idx="1">
                  <c:v>0.005605902172650189</c:v>
                </c:pt>
                <c:pt idx="2">
                  <c:v>0.0010975997227116359</c:v>
                </c:pt>
                <c:pt idx="3">
                  <c:v>0.005395423987997359</c:v>
                </c:pt>
                <c:pt idx="4">
                  <c:v>0.025713137806348037</c:v>
                </c:pt>
                <c:pt idx="5">
                  <c:v>-0.009708466230205437</c:v>
                </c:pt>
                <c:pt idx="6">
                  <c:v>0.002966520695013452</c:v>
                </c:pt>
                <c:pt idx="7">
                  <c:v>0.00625352112676064</c:v>
                </c:pt>
                <c:pt idx="8">
                  <c:v>0.0012877218520798933</c:v>
                </c:pt>
                <c:pt idx="9">
                  <c:v>0.0031312905390293126</c:v>
                </c:pt>
                <c:pt idx="10">
                  <c:v>-0.008444816053511788</c:v>
                </c:pt>
                <c:pt idx="11">
                  <c:v>-0.005537285324788404</c:v>
                </c:pt>
                <c:pt idx="12">
                  <c:v>0.010344827586206806</c:v>
                </c:pt>
                <c:pt idx="13">
                  <c:v>-0.00688188888267213</c:v>
                </c:pt>
                <c:pt idx="14">
                  <c:v>-0.01307042253521123</c:v>
                </c:pt>
                <c:pt idx="15">
                  <c:v>-0.015098755565703906</c:v>
                </c:pt>
                <c:pt idx="16">
                  <c:v>-0.004057147825078903</c:v>
                </c:pt>
                <c:pt idx="17">
                  <c:v>0.015363575523030734</c:v>
                </c:pt>
                <c:pt idx="18">
                  <c:v>0.02089124516406368</c:v>
                </c:pt>
                <c:pt idx="19">
                  <c:v>0.002414102852009919</c:v>
                </c:pt>
                <c:pt idx="20">
                  <c:v>-0.00974516942033049</c:v>
                </c:pt>
                <c:pt idx="21">
                  <c:v>-0.004072167863808602</c:v>
                </c:pt>
                <c:pt idx="22">
                  <c:v>0.01777500141972852</c:v>
                </c:pt>
                <c:pt idx="23">
                  <c:v>0.01157794888963279</c:v>
                </c:pt>
                <c:pt idx="24">
                  <c:v>0.005350395763810359</c:v>
                </c:pt>
                <c:pt idx="25">
                  <c:v>-0.009107618028694465</c:v>
                </c:pt>
                <c:pt idx="26">
                  <c:v>0.00038758616871084194</c:v>
                </c:pt>
                <c:pt idx="27">
                  <c:v>0.008136156081361553</c:v>
                </c:pt>
                <c:pt idx="28">
                  <c:v>0.001674490104037873</c:v>
                </c:pt>
                <c:pt idx="29">
                  <c:v>0.004850644012058205</c:v>
                </c:pt>
                <c:pt idx="30">
                  <c:v>-0.006763574876592081</c:v>
                </c:pt>
                <c:pt idx="31">
                  <c:v>0.002059364617370054</c:v>
                </c:pt>
                <c:pt idx="32">
                  <c:v>0.00041102647010461246</c:v>
                </c:pt>
                <c:pt idx="33">
                  <c:v>0.0007121531677122019</c:v>
                </c:pt>
                <c:pt idx="34">
                  <c:v>0.00030108115505667656</c:v>
                </c:pt>
                <c:pt idx="35">
                  <c:v>-0.01094511027198599</c:v>
                </c:pt>
                <c:pt idx="36">
                  <c:v>-0.01455209428429146</c:v>
                </c:pt>
                <c:pt idx="37">
                  <c:v>-0.006372824256035884</c:v>
                </c:pt>
                <c:pt idx="38">
                  <c:v>-0.0031079592009720077</c:v>
                </c:pt>
                <c:pt idx="39">
                  <c:v>-0.00626363971317626</c:v>
                </c:pt>
                <c:pt idx="40">
                  <c:v>-0.0010552735154868648</c:v>
                </c:pt>
                <c:pt idx="41">
                  <c:v>-0.0006852248394004542</c:v>
                </c:pt>
                <c:pt idx="42">
                  <c:v>0.0015428130624839875</c:v>
                </c:pt>
                <c:pt idx="43">
                  <c:v>0.001084010840108388</c:v>
                </c:pt>
                <c:pt idx="44">
                  <c:v>0.0070669364260679286</c:v>
                </c:pt>
                <c:pt idx="45">
                  <c:v>0.005517670694094645</c:v>
                </c:pt>
                <c:pt idx="46">
                  <c:v>0.003151733453399382</c:v>
                </c:pt>
                <c:pt idx="47">
                  <c:v>-0.01391382405745073</c:v>
                </c:pt>
                <c:pt idx="48">
                  <c:v>0.01624374146563506</c:v>
                </c:pt>
                <c:pt idx="49">
                  <c:v>0.019371273409288018</c:v>
                </c:pt>
                <c:pt idx="50">
                  <c:v>0.0037347247013593677</c:v>
                </c:pt>
                <c:pt idx="51">
                  <c:v>-0.013953106618149889</c:v>
                </c:pt>
                <c:pt idx="52">
                  <c:v>-0.004578119364057696</c:v>
                </c:pt>
                <c:pt idx="53">
                  <c:v>0.00448767978592935</c:v>
                </c:pt>
                <c:pt idx="54">
                  <c:v>0.010211726836307148</c:v>
                </c:pt>
                <c:pt idx="55">
                  <c:v>0.025491003982969298</c:v>
                </c:pt>
                <c:pt idx="56">
                  <c:v>-0.004044678970347926</c:v>
                </c:pt>
                <c:pt idx="57">
                  <c:v>-0.0036038943574847374</c:v>
                </c:pt>
                <c:pt idx="58">
                  <c:v>-0.008961347441157399</c:v>
                </c:pt>
                <c:pt idx="59">
                  <c:v>0.011684279333260604</c:v>
                </c:pt>
                <c:pt idx="60">
                  <c:v>0.012006999596177242</c:v>
                </c:pt>
                <c:pt idx="61">
                  <c:v>-0.007288978744912369</c:v>
                </c:pt>
                <c:pt idx="62">
                  <c:v>0.009084331537904939</c:v>
                </c:pt>
                <c:pt idx="63">
                  <c:v>-0.0006904610155087925</c:v>
                </c:pt>
                <c:pt idx="64">
                  <c:v>-0.014615997874036673</c:v>
                </c:pt>
                <c:pt idx="65">
                  <c:v>0.010679611650485381</c:v>
                </c:pt>
                <c:pt idx="66">
                  <c:v>-0.013528658341338439</c:v>
                </c:pt>
                <c:pt idx="67">
                  <c:v>0.0016500311071438601</c:v>
                </c:pt>
                <c:pt idx="68">
                  <c:v>-0.0007831487982717268</c:v>
                </c:pt>
                <c:pt idx="69">
                  <c:v>0.006459284884192283</c:v>
                </c:pt>
                <c:pt idx="70">
                  <c:v>0.002604726100966776</c:v>
                </c:pt>
                <c:pt idx="71">
                  <c:v>-0.00024104775423850828</c:v>
                </c:pt>
                <c:pt idx="72">
                  <c:v>0.01559151307329632</c:v>
                </c:pt>
                <c:pt idx="73">
                  <c:v>-0.0003956739646532158</c:v>
                </c:pt>
                <c:pt idx="74">
                  <c:v>-0.009156880854993985</c:v>
                </c:pt>
                <c:pt idx="75">
                  <c:v>0.009747523170341877</c:v>
                </c:pt>
                <c:pt idx="76">
                  <c:v>0.0029540539114838965</c:v>
                </c:pt>
                <c:pt idx="77">
                  <c:v>-0.026324094040919347</c:v>
                </c:pt>
                <c:pt idx="78">
                  <c:v>-0.004159351789331588</c:v>
                </c:pt>
                <c:pt idx="79">
                  <c:v>0.004719155976241516</c:v>
                </c:pt>
                <c:pt idx="80">
                  <c:v>0.0019705763260899397</c:v>
                </c:pt>
                <c:pt idx="81">
                  <c:v>-0.01821218815668945</c:v>
                </c:pt>
                <c:pt idx="82">
                  <c:v>-0.01341858295373482</c:v>
                </c:pt>
                <c:pt idx="83">
                  <c:v>0.007120407198286659</c:v>
                </c:pt>
                <c:pt idx="84">
                  <c:v>-0.01472009721339994</c:v>
                </c:pt>
                <c:pt idx="85">
                  <c:v>-0.002074223567664562</c:v>
                </c:pt>
                <c:pt idx="86">
                  <c:v>0.008061344868265841</c:v>
                </c:pt>
                <c:pt idx="87">
                  <c:v>0.006770876870350266</c:v>
                </c:pt>
                <c:pt idx="88">
                  <c:v>0.017574449241669496</c:v>
                </c:pt>
                <c:pt idx="89">
                  <c:v>-0.008485870481681954</c:v>
                </c:pt>
                <c:pt idx="90">
                  <c:v>-0.012755451927033421</c:v>
                </c:pt>
                <c:pt idx="91">
                  <c:v>-0.0026118366212836835</c:v>
                </c:pt>
                <c:pt idx="92">
                  <c:v>-0.0013371963449965495</c:v>
                </c:pt>
                <c:pt idx="93">
                  <c:v>-0.014477795135014498</c:v>
                </c:pt>
                <c:pt idx="94">
                  <c:v>-0.006538537745195172</c:v>
                </c:pt>
                <c:pt idx="95">
                  <c:v>0.004159781184112996</c:v>
                </c:pt>
                <c:pt idx="96">
                  <c:v>0.002950856883441211</c:v>
                </c:pt>
                <c:pt idx="97">
                  <c:v>0.013466108407830685</c:v>
                </c:pt>
                <c:pt idx="98">
                  <c:v>-0.01013287181777578</c:v>
                </c:pt>
                <c:pt idx="99">
                  <c:v>0.023236795352640956</c:v>
                </c:pt>
                <c:pt idx="100">
                  <c:v>-0.004740250792338507</c:v>
                </c:pt>
                <c:pt idx="101">
                  <c:v>0.008224185196466722</c:v>
                </c:pt>
                <c:pt idx="102">
                  <c:v>-0.0013183191430926069</c:v>
                </c:pt>
                <c:pt idx="103">
                  <c:v>-0.006435289588031549</c:v>
                </c:pt>
                <c:pt idx="104">
                  <c:v>0.006809123117803467</c:v>
                </c:pt>
                <c:pt idx="105">
                  <c:v>0.012096552482542412</c:v>
                </c:pt>
                <c:pt idx="106">
                  <c:v>0.0021730863258543256</c:v>
                </c:pt>
                <c:pt idx="107">
                  <c:v>0.001599176017780601</c:v>
                </c:pt>
                <c:pt idx="108">
                  <c:v>-0.01347657835629032</c:v>
                </c:pt>
                <c:pt idx="109">
                  <c:v>-0.006391441503223108</c:v>
                </c:pt>
                <c:pt idx="110">
                  <c:v>0.0022086025067637196</c:v>
                </c:pt>
                <c:pt idx="111">
                  <c:v>0.005784805244890151</c:v>
                </c:pt>
                <c:pt idx="112">
                  <c:v>0.0186514022787029</c:v>
                </c:pt>
                <c:pt idx="113">
                  <c:v>0.010458957330680467</c:v>
                </c:pt>
                <c:pt idx="114">
                  <c:v>0.0010111223458038302</c:v>
                </c:pt>
                <c:pt idx="115">
                  <c:v>-0.0031366294524189445</c:v>
                </c:pt>
                <c:pt idx="116">
                  <c:v>0.022238813929923825</c:v>
                </c:pt>
                <c:pt idx="117">
                  <c:v>0.008295075125208698</c:v>
                </c:pt>
                <c:pt idx="118">
                  <c:v>-0.004941273865576719</c:v>
                </c:pt>
                <c:pt idx="119">
                  <c:v>-0.00033798715648804164</c:v>
                </c:pt>
                <c:pt idx="120">
                  <c:v>0.002600780234070221</c:v>
                </c:pt>
                <c:pt idx="121">
                  <c:v>-0.016939040207522627</c:v>
                </c:pt>
                <c:pt idx="122">
                  <c:v>-0.009446658046811201</c:v>
                </c:pt>
                <c:pt idx="123">
                  <c:v>-0.01513093049894778</c:v>
                </c:pt>
                <c:pt idx="124">
                  <c:v>-0.0031916907846690837</c:v>
                </c:pt>
                <c:pt idx="125">
                  <c:v>0.000868314655523431</c:v>
                </c:pt>
                <c:pt idx="126">
                  <c:v>0.011169852243459413</c:v>
                </c:pt>
                <c:pt idx="127">
                  <c:v>0.004450760114754452</c:v>
                </c:pt>
                <c:pt idx="128">
                  <c:v>0.0016282732295865617</c:v>
                </c:pt>
                <c:pt idx="129">
                  <c:v>0.01281846285044239</c:v>
                </c:pt>
                <c:pt idx="130">
                  <c:v>-0.0015787396395211754</c:v>
                </c:pt>
                <c:pt idx="131">
                  <c:v>-0.003294241665568586</c:v>
                </c:pt>
                <c:pt idx="132">
                  <c:v>0.01618191433104179</c:v>
                </c:pt>
                <c:pt idx="133">
                  <c:v>-0.002159658617818443</c:v>
                </c:pt>
                <c:pt idx="134">
                  <c:v>0.0086051787530314</c:v>
                </c:pt>
                <c:pt idx="135">
                  <c:v>-0.004059050130561786</c:v>
                </c:pt>
                <c:pt idx="136">
                  <c:v>-0.0057629406572868155</c:v>
                </c:pt>
                <c:pt idx="137">
                  <c:v>-0.010365535248041846</c:v>
                </c:pt>
                <c:pt idx="138">
                  <c:v>0.010394955544416154</c:v>
                </c:pt>
                <c:pt idx="139">
                  <c:v>0.011489150586207737</c:v>
                </c:pt>
                <c:pt idx="140">
                  <c:v>0.0032268890208327953</c:v>
                </c:pt>
                <c:pt idx="141">
                  <c:v>0.017755133549482726</c:v>
                </c:pt>
                <c:pt idx="142">
                  <c:v>0.003438511326860876</c:v>
                </c:pt>
                <c:pt idx="143">
                  <c:v>0.009599879056641811</c:v>
                </c:pt>
                <c:pt idx="144">
                  <c:v>0.0057151413811176235</c:v>
                </c:pt>
                <c:pt idx="145">
                  <c:v>0.0010422353466672267</c:v>
                </c:pt>
                <c:pt idx="146">
                  <c:v>0.0010411502231036588</c:v>
                </c:pt>
                <c:pt idx="147">
                  <c:v>0.002377296815412757</c:v>
                </c:pt>
                <c:pt idx="148">
                  <c:v>-0.0026928207915410222</c:v>
                </c:pt>
                <c:pt idx="149">
                  <c:v>0.022269563278753523</c:v>
                </c:pt>
                <c:pt idx="150">
                  <c:v>0.007148395851507194</c:v>
                </c:pt>
                <c:pt idx="151">
                  <c:v>0.006207444120972943</c:v>
                </c:pt>
                <c:pt idx="152">
                  <c:v>0.002558523229956226</c:v>
                </c:pt>
                <c:pt idx="153">
                  <c:v>0.01137664567830576</c:v>
                </c:pt>
                <c:pt idx="154">
                  <c:v>-0.003419408088668762</c:v>
                </c:pt>
                <c:pt idx="155">
                  <c:v>0.021604353999053468</c:v>
                </c:pt>
                <c:pt idx="156">
                  <c:v>-0.008709146920529013</c:v>
                </c:pt>
                <c:pt idx="157">
                  <c:v>0.004159170035282783</c:v>
                </c:pt>
                <c:pt idx="158">
                  <c:v>0.029203025014543367</c:v>
                </c:pt>
                <c:pt idx="159">
                  <c:v>0.008817544652950435</c:v>
                </c:pt>
                <c:pt idx="160">
                  <c:v>0.01790676826535188</c:v>
                </c:pt>
                <c:pt idx="161">
                  <c:v>-0.0033686342720006444</c:v>
                </c:pt>
                <c:pt idx="162">
                  <c:v>0.01354217293332743</c:v>
                </c:pt>
                <c:pt idx="163">
                  <c:v>-0.0191154994659867</c:v>
                </c:pt>
                <c:pt idx="164">
                  <c:v>0.008599617794764687</c:v>
                </c:pt>
                <c:pt idx="165">
                  <c:v>0.012007314547577582</c:v>
                </c:pt>
                <c:pt idx="166">
                  <c:v>-0.003983977010493282</c:v>
                </c:pt>
                <c:pt idx="167">
                  <c:v>0.009420559113462006</c:v>
                </c:pt>
                <c:pt idx="168">
                  <c:v>0.03445065176908758</c:v>
                </c:pt>
                <c:pt idx="169">
                  <c:v>0.025265317229397344</c:v>
                </c:pt>
                <c:pt idx="170">
                  <c:v>0.012086565945283822</c:v>
                </c:pt>
                <c:pt idx="171">
                  <c:v>-0.012890341321713957</c:v>
                </c:pt>
                <c:pt idx="172">
                  <c:v>0.014938793860993609</c:v>
                </c:pt>
                <c:pt idx="173">
                  <c:v>-0.028431056701030938</c:v>
                </c:pt>
                <c:pt idx="174">
                  <c:v>-0.01707701235181963</c:v>
                </c:pt>
                <c:pt idx="175">
                  <c:v>0.02131652188580588</c:v>
                </c:pt>
                <c:pt idx="176">
                  <c:v>0.02025227605854787</c:v>
                </c:pt>
                <c:pt idx="177">
                  <c:v>0.01819101578308379</c:v>
                </c:pt>
                <c:pt idx="178">
                  <c:v>-0.016117172439833887</c:v>
                </c:pt>
                <c:pt idx="179">
                  <c:v>-0.0041205461743555865</c:v>
                </c:pt>
                <c:pt idx="180">
                  <c:v>-0.011358104819081661</c:v>
                </c:pt>
                <c:pt idx="181">
                  <c:v>0.002338749384539608</c:v>
                </c:pt>
                <c:pt idx="182">
                  <c:v>-0.01666052642351301</c:v>
                </c:pt>
                <c:pt idx="183">
                  <c:v>-0.003205395054533387</c:v>
                </c:pt>
                <c:pt idx="184">
                  <c:v>0.012445186886615237</c:v>
                </c:pt>
                <c:pt idx="185">
                  <c:v>-0.009033535453532969</c:v>
                </c:pt>
                <c:pt idx="186">
                  <c:v>-0.004557942057942053</c:v>
                </c:pt>
                <c:pt idx="187">
                  <c:v>-0.007087750109766131</c:v>
                </c:pt>
                <c:pt idx="188">
                  <c:v>0.01939355653821865</c:v>
                </c:pt>
                <c:pt idx="189">
                  <c:v>0.015347751544070577</c:v>
                </c:pt>
                <c:pt idx="190">
                  <c:v>0.006713594010660281</c:v>
                </c:pt>
                <c:pt idx="191">
                  <c:v>-0.00980114784576826</c:v>
                </c:pt>
                <c:pt idx="192">
                  <c:v>-0.0004489887548726041</c:v>
                </c:pt>
                <c:pt idx="193">
                  <c:v>0.017579680258080353</c:v>
                </c:pt>
                <c:pt idx="194">
                  <c:v>0.010875235763874986</c:v>
                </c:pt>
                <c:pt idx="195">
                  <c:v>0.01863834855101239</c:v>
                </c:pt>
                <c:pt idx="196">
                  <c:v>0.02330520859720556</c:v>
                </c:pt>
                <c:pt idx="197">
                  <c:v>-0.012034656764733765</c:v>
                </c:pt>
                <c:pt idx="198">
                  <c:v>0.00040475685677374606</c:v>
                </c:pt>
                <c:pt idx="199">
                  <c:v>0.0028321516646116433</c:v>
                </c:pt>
                <c:pt idx="200">
                  <c:v>0.010432076232925523</c:v>
                </c:pt>
                <c:pt idx="201">
                  <c:v>-0.00920257063543376</c:v>
                </c:pt>
                <c:pt idx="202">
                  <c:v>0.01748224908846673</c:v>
                </c:pt>
                <c:pt idx="203">
                  <c:v>0.008675807698836137</c:v>
                </c:pt>
                <c:pt idx="204">
                  <c:v>-0.009872665058618899</c:v>
                </c:pt>
                <c:pt idx="205">
                  <c:v>0.0028893547107812076</c:v>
                </c:pt>
                <c:pt idx="206">
                  <c:v>-0.009867058336157678</c:v>
                </c:pt>
                <c:pt idx="207">
                  <c:v>0.019189076109695176</c:v>
                </c:pt>
                <c:pt idx="208">
                  <c:v>0.0033587729282903256</c:v>
                </c:pt>
                <c:pt idx="209">
                  <c:v>0.0139852336761451</c:v>
                </c:pt>
                <c:pt idx="210">
                  <c:v>-0.006107514260037123</c:v>
                </c:pt>
                <c:pt idx="211">
                  <c:v>-0.0037276250230669533</c:v>
                </c:pt>
                <c:pt idx="212">
                  <c:v>0.010280062236052372</c:v>
                </c:pt>
                <c:pt idx="213">
                  <c:v>0.02269768806262948</c:v>
                </c:pt>
                <c:pt idx="214">
                  <c:v>0.01183198580161708</c:v>
                </c:pt>
                <c:pt idx="215">
                  <c:v>-0.012154285005581075</c:v>
                </c:pt>
                <c:pt idx="216">
                  <c:v>0.005416554569097114</c:v>
                </c:pt>
                <c:pt idx="217">
                  <c:v>0.0019444493997179979</c:v>
                </c:pt>
                <c:pt idx="218">
                  <c:v>0.011946729338033752</c:v>
                </c:pt>
                <c:pt idx="219">
                  <c:v>-0.003219733624223729</c:v>
                </c:pt>
                <c:pt idx="220">
                  <c:v>0.004042079994351815</c:v>
                </c:pt>
                <c:pt idx="221">
                  <c:v>-0.017808484081359974</c:v>
                </c:pt>
                <c:pt idx="222">
                  <c:v>-0.00962949704671558</c:v>
                </c:pt>
                <c:pt idx="223">
                  <c:v>0.025103014530470587</c:v>
                </c:pt>
                <c:pt idx="224">
                  <c:v>-0.008850337617460872</c:v>
                </c:pt>
                <c:pt idx="225">
                  <c:v>0.007008306800192</c:v>
                </c:pt>
                <c:pt idx="226">
                  <c:v>0.016639287796089166</c:v>
                </c:pt>
                <c:pt idx="227">
                  <c:v>0.001963339414473105</c:v>
                </c:pt>
                <c:pt idx="228">
                  <c:v>0.007265727960047262</c:v>
                </c:pt>
                <c:pt idx="229">
                  <c:v>0.0001032933358581876</c:v>
                </c:pt>
                <c:pt idx="230">
                  <c:v>-0.0033566866920281824</c:v>
                </c:pt>
                <c:pt idx="231">
                  <c:v>-0.015941828733289608</c:v>
                </c:pt>
                <c:pt idx="232">
                  <c:v>-0.004791575252303674</c:v>
                </c:pt>
                <c:pt idx="233">
                  <c:v>-0.015308102006983793</c:v>
                </c:pt>
                <c:pt idx="234">
                  <c:v>-0.02503850700290149</c:v>
                </c:pt>
                <c:pt idx="235">
                  <c:v>5.511058858103592E-05</c:v>
                </c:pt>
                <c:pt idx="236">
                  <c:v>0.030033615606458647</c:v>
                </c:pt>
                <c:pt idx="237">
                  <c:v>0.022987480828904637</c:v>
                </c:pt>
                <c:pt idx="238">
                  <c:v>0.01485277966633541</c:v>
                </c:pt>
                <c:pt idx="239">
                  <c:v>-0.006115262389418441</c:v>
                </c:pt>
                <c:pt idx="240">
                  <c:v>-0.017490796591714347</c:v>
                </c:pt>
                <c:pt idx="241">
                  <c:v>0.013421992365472224</c:v>
                </c:pt>
                <c:pt idx="242">
                  <c:v>0.013035931261933675</c:v>
                </c:pt>
                <c:pt idx="243">
                  <c:v>0.008550230462123694</c:v>
                </c:pt>
                <c:pt idx="244">
                  <c:v>0.0071015970098538056</c:v>
                </c:pt>
                <c:pt idx="245">
                  <c:v>0.0004048719592429048</c:v>
                </c:pt>
                <c:pt idx="246">
                  <c:v>0.0198138342720313</c:v>
                </c:pt>
                <c:pt idx="247">
                  <c:v>0.007407774856557068</c:v>
                </c:pt>
                <c:pt idx="248">
                  <c:v>0.010553959786622815</c:v>
                </c:pt>
                <c:pt idx="249">
                  <c:v>-0.00047102390852384946</c:v>
                </c:pt>
                <c:pt idx="250">
                  <c:v>0.014088626724516095</c:v>
                </c:pt>
                <c:pt idx="251">
                  <c:v>0.0004967471076500002</c:v>
                </c:pt>
                <c:pt idx="252">
                  <c:v>0.02415234556432891</c:v>
                </c:pt>
                <c:pt idx="253">
                  <c:v>0.03207443897099068</c:v>
                </c:pt>
                <c:pt idx="254">
                  <c:v>0.007727741075216542</c:v>
                </c:pt>
                <c:pt idx="255">
                  <c:v>0.012991309054822273</c:v>
                </c:pt>
                <c:pt idx="256">
                  <c:v>-0.00914353569838219</c:v>
                </c:pt>
                <c:pt idx="257">
                  <c:v>0.005183209994906727</c:v>
                </c:pt>
                <c:pt idx="258">
                  <c:v>-0.009895678092399383</c:v>
                </c:pt>
                <c:pt idx="259">
                  <c:v>-0.025302546811969504</c:v>
                </c:pt>
                <c:pt idx="260">
                  <c:v>0.009173036831132816</c:v>
                </c:pt>
                <c:pt idx="261">
                  <c:v>0.007130943090177306</c:v>
                </c:pt>
                <c:pt idx="262">
                  <c:v>-0.001169946060928332</c:v>
                </c:pt>
                <c:pt idx="263">
                  <c:v>-0.025160485563905145</c:v>
                </c:pt>
                <c:pt idx="264">
                  <c:v>-0.006382248299107471</c:v>
                </c:pt>
                <c:pt idx="265">
                  <c:v>-0.02782881821751084</c:v>
                </c:pt>
                <c:pt idx="266">
                  <c:v>-0.007754066846517867</c:v>
                </c:pt>
                <c:pt idx="267">
                  <c:v>-0.001302443710011019</c:v>
                </c:pt>
                <c:pt idx="268">
                  <c:v>-0.013269647718566074</c:v>
                </c:pt>
                <c:pt idx="269">
                  <c:v>-0.0004295461679525367</c:v>
                </c:pt>
                <c:pt idx="270">
                  <c:v>0.042625985488323026</c:v>
                </c:pt>
                <c:pt idx="271">
                  <c:v>0.00702260549760621</c:v>
                </c:pt>
                <c:pt idx="272">
                  <c:v>0.016969696969696926</c:v>
                </c:pt>
                <c:pt idx="273">
                  <c:v>-0.007553828769561778</c:v>
                </c:pt>
                <c:pt idx="274">
                  <c:v>0.008562738828667253</c:v>
                </c:pt>
                <c:pt idx="275">
                  <c:v>0.019779166151181436</c:v>
                </c:pt>
                <c:pt idx="276">
                  <c:v>-0.0002123045660646109</c:v>
                </c:pt>
                <c:pt idx="277">
                  <c:v>0.007690090855314126</c:v>
                </c:pt>
                <c:pt idx="278">
                  <c:v>0.004094165813715496</c:v>
                </c:pt>
                <c:pt idx="279">
                  <c:v>0.010373568387599626</c:v>
                </c:pt>
                <c:pt idx="280">
                  <c:v>0.0006676557863502158</c:v>
                </c:pt>
                <c:pt idx="281">
                  <c:v>0.021647268144413832</c:v>
                </c:pt>
                <c:pt idx="282">
                  <c:v>0.004107103983745797</c:v>
                </c:pt>
                <c:pt idx="283">
                  <c:v>-0.005781349366942245</c:v>
                </c:pt>
                <c:pt idx="284">
                  <c:v>0.018971332209106174</c:v>
                </c:pt>
                <c:pt idx="285">
                  <c:v>0.011727276618207279</c:v>
                </c:pt>
                <c:pt idx="286">
                  <c:v>0.012945075089896445</c:v>
                </c:pt>
                <c:pt idx="287">
                  <c:v>0.00019489649603940577</c:v>
                </c:pt>
                <c:pt idx="288">
                  <c:v>0.006847885089147715</c:v>
                </c:pt>
                <c:pt idx="289">
                  <c:v>-0.0024053415170240244</c:v>
                </c:pt>
                <c:pt idx="290">
                  <c:v>0.018346844037968556</c:v>
                </c:pt>
                <c:pt idx="291">
                  <c:v>0.01622011457497035</c:v>
                </c:pt>
                <c:pt idx="292">
                  <c:v>0.023325879407078205</c:v>
                </c:pt>
                <c:pt idx="293">
                  <c:v>0.010363372283213115</c:v>
                </c:pt>
                <c:pt idx="294">
                  <c:v>0.02432169915171919</c:v>
                </c:pt>
                <c:pt idx="295">
                  <c:v>-0.026867105812145197</c:v>
                </c:pt>
                <c:pt idx="296">
                  <c:v>-0.024308803658663242</c:v>
                </c:pt>
                <c:pt idx="297">
                  <c:v>0.030067779005819043</c:v>
                </c:pt>
                <c:pt idx="298">
                  <c:v>0.012785211040010472</c:v>
                </c:pt>
                <c:pt idx="299">
                  <c:v>0.013491779842744736</c:v>
                </c:pt>
                <c:pt idx="300">
                  <c:v>-0.002241785367942435</c:v>
                </c:pt>
                <c:pt idx="301">
                  <c:v>-0.0017545409792610559</c:v>
                </c:pt>
                <c:pt idx="302">
                  <c:v>-0.02965201557837242</c:v>
                </c:pt>
                <c:pt idx="303">
                  <c:v>0.014399457902761398</c:v>
                </c:pt>
                <c:pt idx="304">
                  <c:v>-0.0048430193720776105</c:v>
                </c:pt>
                <c:pt idx="305">
                  <c:v>-0.003601533556223894</c:v>
                </c:pt>
                <c:pt idx="306">
                  <c:v>-0.006684976939420594</c:v>
                </c:pt>
                <c:pt idx="307">
                  <c:v>-0.008542883973288904</c:v>
                </c:pt>
                <c:pt idx="308">
                  <c:v>-0.007393083126142843</c:v>
                </c:pt>
                <c:pt idx="309">
                  <c:v>-0.038420250480418805</c:v>
                </c:pt>
                <c:pt idx="310">
                  <c:v>0.01917139864380628</c:v>
                </c:pt>
                <c:pt idx="311">
                  <c:v>-0.023435703950126497</c:v>
                </c:pt>
                <c:pt idx="312">
                  <c:v>-0.011216661589165568</c:v>
                </c:pt>
                <c:pt idx="313">
                  <c:v>-0.021203293933112974</c:v>
                </c:pt>
                <c:pt idx="314">
                  <c:v>-0.04517098297324358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  <c:max val="0.08"/>
          <c:min val="-0.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71549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425"/>
          <c:y val="0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21/OCT/2002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975"/>
          <c:w val="0.89425"/>
          <c:h val="0.74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  <c:pt idx="302">
                  <c:v>16/1</c:v>
                </c:pt>
                <c:pt idx="303">
                  <c:v>19/1</c:v>
                </c:pt>
                <c:pt idx="304">
                  <c:v>20/1</c:v>
                </c:pt>
                <c:pt idx="305">
                  <c:v>21/1</c:v>
                </c:pt>
                <c:pt idx="306">
                  <c:v>22/1</c:v>
                </c:pt>
                <c:pt idx="307">
                  <c:v>23/1</c:v>
                </c:pt>
                <c:pt idx="308">
                  <c:v>26/1</c:v>
                </c:pt>
                <c:pt idx="309">
                  <c:v>27/1</c:v>
                </c:pt>
                <c:pt idx="310">
                  <c:v>28/1</c:v>
                </c:pt>
                <c:pt idx="311">
                  <c:v>29/1</c:v>
                </c:pt>
                <c:pt idx="312">
                  <c:v>30/1</c:v>
                </c:pt>
                <c:pt idx="313">
                  <c:v>2/2</c:v>
                </c:pt>
              </c:strCache>
            </c:strRef>
          </c:cat>
          <c:val>
            <c:numRef>
              <c:f>'Perf.'!$E$3:$E$500</c:f>
              <c:numCache>
                <c:ptCount val="498"/>
                <c:pt idx="0">
                  <c:v>0</c:v>
                </c:pt>
                <c:pt idx="1">
                  <c:v>0.0165297424820363</c:v>
                </c:pt>
                <c:pt idx="2">
                  <c:v>0.039687023476448306</c:v>
                </c:pt>
                <c:pt idx="3">
                  <c:v>0.05057345902698026</c:v>
                </c:pt>
                <c:pt idx="4">
                  <c:v>0.06238498558561813</c:v>
                </c:pt>
                <c:pt idx="5">
                  <c:v>0.05846157579754637</c:v>
                </c:pt>
                <c:pt idx="6">
                  <c:v>0.06128266328262184</c:v>
                </c:pt>
                <c:pt idx="7">
                  <c:v>0.06445638670333169</c:v>
                </c:pt>
                <c:pt idx="8">
                  <c:v>0.08490927097012892</c:v>
                </c:pt>
                <c:pt idx="9">
                  <c:v>0.07543219783175024</c:v>
                </c:pt>
                <c:pt idx="10">
                  <c:v>0.04228441988211342</c:v>
                </c:pt>
                <c:pt idx="11">
                  <c:v>0.03913905597562787</c:v>
                </c:pt>
                <c:pt idx="12">
                  <c:v>0.05124844093514989</c:v>
                </c:pt>
                <c:pt idx="13">
                  <c:v>0.04825628953591458</c:v>
                </c:pt>
                <c:pt idx="14">
                  <c:v>0.05250633279503997</c:v>
                </c:pt>
                <c:pt idx="15">
                  <c:v>0.033577501121005514</c:v>
                </c:pt>
                <c:pt idx="16">
                  <c:v>0.03233551292002893</c:v>
                </c:pt>
                <c:pt idx="17">
                  <c:v>0.028609548317099012</c:v>
                </c:pt>
                <c:pt idx="18">
                  <c:v>-0.001283027350171664</c:v>
                </c:pt>
                <c:pt idx="19">
                  <c:v>0.002786378040033128</c:v>
                </c:pt>
                <c:pt idx="20">
                  <c:v>-0.013313331815967003</c:v>
                </c:pt>
                <c:pt idx="21">
                  <c:v>-0.004464165884008513</c:v>
                </c:pt>
                <c:pt idx="22">
                  <c:v>0.00022530378090440952</c:v>
                </c:pt>
                <c:pt idx="23">
                  <c:v>0.009047716522226338</c:v>
                </c:pt>
                <c:pt idx="24">
                  <c:v>0.009047716522226338</c:v>
                </c:pt>
                <c:pt idx="25">
                  <c:v>0.006401390089400318</c:v>
                </c:pt>
                <c:pt idx="26">
                  <c:v>0.003420968309823009</c:v>
                </c:pt>
                <c:pt idx="27">
                  <c:v>0.00044054653024570086</c:v>
                </c:pt>
                <c:pt idx="28">
                  <c:v>0.014107622915063421</c:v>
                </c:pt>
                <c:pt idx="29">
                  <c:v>0.014107622915063421</c:v>
                </c:pt>
                <c:pt idx="30">
                  <c:v>0.0013790895368671313</c:v>
                </c:pt>
                <c:pt idx="31">
                  <c:v>-0.0018030438076819413</c:v>
                </c:pt>
                <c:pt idx="32">
                  <c:v>-0.003924466037381323</c:v>
                </c:pt>
                <c:pt idx="33">
                  <c:v>-0.007106599381930395</c:v>
                </c:pt>
                <c:pt idx="34">
                  <c:v>0.0017949236509253136</c:v>
                </c:pt>
                <c:pt idx="35">
                  <c:v>0.009219901454873149</c:v>
                </c:pt>
                <c:pt idx="36">
                  <c:v>0.00356277550900819</c:v>
                </c:pt>
                <c:pt idx="37">
                  <c:v>-0.0022711356226651973</c:v>
                </c:pt>
                <c:pt idx="38">
                  <c:v>0.0009789822329384465</c:v>
                </c:pt>
                <c:pt idx="39">
                  <c:v>0.002586562055848964</c:v>
                </c:pt>
                <c:pt idx="40">
                  <c:v>0.003083575927230317</c:v>
                </c:pt>
                <c:pt idx="41">
                  <c:v>0.0007200287070478159</c:v>
                </c:pt>
                <c:pt idx="42">
                  <c:v>0.0007148534770814936</c:v>
                </c:pt>
                <c:pt idx="43">
                  <c:v>0.0021130426600199453</c:v>
                </c:pt>
                <c:pt idx="44">
                  <c:v>0.029257247079191327</c:v>
                </c:pt>
                <c:pt idx="45">
                  <c:v>0.056794230384757505</c:v>
                </c:pt>
                <c:pt idx="46">
                  <c:v>0.05716719536258301</c:v>
                </c:pt>
                <c:pt idx="47">
                  <c:v>0.05554582155255742</c:v>
                </c:pt>
                <c:pt idx="48">
                  <c:v>0.05716117105811542</c:v>
                </c:pt>
                <c:pt idx="49">
                  <c:v>0.060764223969283146</c:v>
                </c:pt>
                <c:pt idx="50">
                  <c:v>0.05219447071165815</c:v>
                </c:pt>
                <c:pt idx="51">
                  <c:v>0.011329422852622072</c:v>
                </c:pt>
                <c:pt idx="52">
                  <c:v>0.0016011799924690638</c:v>
                </c:pt>
                <c:pt idx="53">
                  <c:v>0.02084627940723692</c:v>
                </c:pt>
                <c:pt idx="54">
                  <c:v>0.06052429110273799</c:v>
                </c:pt>
                <c:pt idx="55">
                  <c:v>0.0854313437545282</c:v>
                </c:pt>
                <c:pt idx="56">
                  <c:v>0.0854313437545282</c:v>
                </c:pt>
                <c:pt idx="57">
                  <c:v>0.0854313437545282</c:v>
                </c:pt>
                <c:pt idx="58">
                  <c:v>0.0854313437545282</c:v>
                </c:pt>
                <c:pt idx="59">
                  <c:v>0.0854313437545282</c:v>
                </c:pt>
                <c:pt idx="60">
                  <c:v>0.0854313437545282</c:v>
                </c:pt>
                <c:pt idx="61">
                  <c:v>0.0854313437545282</c:v>
                </c:pt>
                <c:pt idx="62">
                  <c:v>0.0854313437545282</c:v>
                </c:pt>
                <c:pt idx="63">
                  <c:v>0.08718405982012986</c:v>
                </c:pt>
                <c:pt idx="64">
                  <c:v>0.10977454841970287</c:v>
                </c:pt>
                <c:pt idx="65">
                  <c:v>0.09964672887281326</c:v>
                </c:pt>
                <c:pt idx="66">
                  <c:v>0.10096975637225782</c:v>
                </c:pt>
                <c:pt idx="67">
                  <c:v>0.10096975637225782</c:v>
                </c:pt>
                <c:pt idx="68">
                  <c:v>0.10287619099493399</c:v>
                </c:pt>
                <c:pt idx="69">
                  <c:v>0.10287619099493645</c:v>
                </c:pt>
                <c:pt idx="70">
                  <c:v>0.10287619099493645</c:v>
                </c:pt>
                <c:pt idx="71">
                  <c:v>0.10096975637225782</c:v>
                </c:pt>
                <c:pt idx="72">
                  <c:v>0.10859549486296231</c:v>
                </c:pt>
                <c:pt idx="73">
                  <c:v>0.10478262561761015</c:v>
                </c:pt>
                <c:pt idx="74">
                  <c:v>0.10259826027960656</c:v>
                </c:pt>
                <c:pt idx="75">
                  <c:v>0.11428483345645178</c:v>
                </c:pt>
                <c:pt idx="76">
                  <c:v>0.11682969163064659</c:v>
                </c:pt>
                <c:pt idx="77">
                  <c:v>0.07954408313315035</c:v>
                </c:pt>
                <c:pt idx="78">
                  <c:v>0.08033270041198155</c:v>
                </c:pt>
                <c:pt idx="79">
                  <c:v>0.09342548816969486</c:v>
                </c:pt>
                <c:pt idx="80">
                  <c:v>0.08180824123113002</c:v>
                </c:pt>
                <c:pt idx="81">
                  <c:v>0.06313468917044009</c:v>
                </c:pt>
                <c:pt idx="82">
                  <c:v>0.053334385252063736</c:v>
                </c:pt>
                <c:pt idx="83">
                  <c:v>0.04976458084573701</c:v>
                </c:pt>
                <c:pt idx="84">
                  <c:v>0.007096801670223362</c:v>
                </c:pt>
                <c:pt idx="85">
                  <c:v>-0.0028407396121448592</c:v>
                </c:pt>
                <c:pt idx="86">
                  <c:v>0.0019210691379469716</c:v>
                </c:pt>
                <c:pt idx="87">
                  <c:v>0.012010361679569672</c:v>
                </c:pt>
                <c:pt idx="88">
                  <c:v>0.040070737283227326</c:v>
                </c:pt>
                <c:pt idx="89">
                  <c:v>0.04482611784478602</c:v>
                </c:pt>
                <c:pt idx="90">
                  <c:v>0.04133127013863823</c:v>
                </c:pt>
                <c:pt idx="91">
                  <c:v>0.03669742994832544</c:v>
                </c:pt>
                <c:pt idx="92">
                  <c:v>0.029906675371618115</c:v>
                </c:pt>
                <c:pt idx="93">
                  <c:v>0.02089519821836518</c:v>
                </c:pt>
                <c:pt idx="94">
                  <c:v>0.015611401772421289</c:v>
                </c:pt>
                <c:pt idx="95">
                  <c:v>0.015611401772421289</c:v>
                </c:pt>
                <c:pt idx="96">
                  <c:v>0.015603902962506262</c:v>
                </c:pt>
                <c:pt idx="97">
                  <c:v>0.015603902962506262</c:v>
                </c:pt>
                <c:pt idx="98">
                  <c:v>0.015603902962505033</c:v>
                </c:pt>
                <c:pt idx="99">
                  <c:v>0.015603902962505033</c:v>
                </c:pt>
                <c:pt idx="100">
                  <c:v>0.015603902962505033</c:v>
                </c:pt>
                <c:pt idx="101">
                  <c:v>6.776531110640122E-05</c:v>
                </c:pt>
                <c:pt idx="102">
                  <c:v>-0.019386962921803492</c:v>
                </c:pt>
                <c:pt idx="103">
                  <c:v>-0.0778977404141039</c:v>
                </c:pt>
                <c:pt idx="104">
                  <c:v>-0.0708316012725319</c:v>
                </c:pt>
                <c:pt idx="105">
                  <c:v>-0.06053157042244352</c:v>
                </c:pt>
                <c:pt idx="106">
                  <c:v>-0.06053157042244352</c:v>
                </c:pt>
                <c:pt idx="107">
                  <c:v>-0.06053157042244352</c:v>
                </c:pt>
                <c:pt idx="108">
                  <c:v>-0.13281664302150237</c:v>
                </c:pt>
                <c:pt idx="109">
                  <c:v>-0.1182557097343209</c:v>
                </c:pt>
                <c:pt idx="110">
                  <c:v>-0.08942489381493272</c:v>
                </c:pt>
                <c:pt idx="111">
                  <c:v>-0.08307782033077668</c:v>
                </c:pt>
                <c:pt idx="112">
                  <c:v>-0.06899341785364026</c:v>
                </c:pt>
                <c:pt idx="113">
                  <c:v>-0.0759266622419213</c:v>
                </c:pt>
                <c:pt idx="114">
                  <c:v>-0.07910242512625097</c:v>
                </c:pt>
                <c:pt idx="115">
                  <c:v>-0.07910242512625097</c:v>
                </c:pt>
                <c:pt idx="116">
                  <c:v>-0.07910242512625097</c:v>
                </c:pt>
                <c:pt idx="117">
                  <c:v>-0.07157884275495023</c:v>
                </c:pt>
                <c:pt idx="118">
                  <c:v>-0.0812520200894798</c:v>
                </c:pt>
                <c:pt idx="119">
                  <c:v>-0.08662600749755171</c:v>
                </c:pt>
                <c:pt idx="120">
                  <c:v>-0.0908087610301676</c:v>
                </c:pt>
                <c:pt idx="121">
                  <c:v>-0.09439141930221571</c:v>
                </c:pt>
                <c:pt idx="122">
                  <c:v>-0.09148344723595972</c:v>
                </c:pt>
                <c:pt idx="123">
                  <c:v>-0.09603947027366233</c:v>
                </c:pt>
                <c:pt idx="124">
                  <c:v>-0.10713945475739635</c:v>
                </c:pt>
                <c:pt idx="125">
                  <c:v>-0.11197534799747637</c:v>
                </c:pt>
                <c:pt idx="126">
                  <c:v>-0.09682312177822422</c:v>
                </c:pt>
                <c:pt idx="127">
                  <c:v>-0.08592719200924952</c:v>
                </c:pt>
                <c:pt idx="128">
                  <c:v>-0.08298969951546378</c:v>
                </c:pt>
                <c:pt idx="129">
                  <c:v>-0.07579772356886638</c:v>
                </c:pt>
                <c:pt idx="130">
                  <c:v>-0.07283760190671319</c:v>
                </c:pt>
                <c:pt idx="131">
                  <c:v>-0.07607110138672146</c:v>
                </c:pt>
                <c:pt idx="132">
                  <c:v>-0.0734128470534481</c:v>
                </c:pt>
                <c:pt idx="133">
                  <c:v>-0.07926039126050233</c:v>
                </c:pt>
                <c:pt idx="134">
                  <c:v>-0.08131576708020488</c:v>
                </c:pt>
                <c:pt idx="135">
                  <c:v>-0.07853158925109933</c:v>
                </c:pt>
                <c:pt idx="136">
                  <c:v>-0.10312758656020796</c:v>
                </c:pt>
                <c:pt idx="137">
                  <c:v>-0.1214204313555616</c:v>
                </c:pt>
                <c:pt idx="138">
                  <c:v>-0.11525430389645358</c:v>
                </c:pt>
                <c:pt idx="139">
                  <c:v>-0.11319892807675103</c:v>
                </c:pt>
                <c:pt idx="140">
                  <c:v>-0.10819751358214114</c:v>
                </c:pt>
                <c:pt idx="141">
                  <c:v>-0.10755711739749528</c:v>
                </c:pt>
                <c:pt idx="142">
                  <c:v>-0.11790250902333206</c:v>
                </c:pt>
                <c:pt idx="143">
                  <c:v>-0.12036896000697508</c:v>
                </c:pt>
                <c:pt idx="144">
                  <c:v>-0.11824507165994906</c:v>
                </c:pt>
                <c:pt idx="145">
                  <c:v>-0.11865614682388954</c:v>
                </c:pt>
                <c:pt idx="146">
                  <c:v>-0.1108488743960281</c:v>
                </c:pt>
                <c:pt idx="147">
                  <c:v>-0.10495679704621379</c:v>
                </c:pt>
                <c:pt idx="148">
                  <c:v>-0.10840105881981683</c:v>
                </c:pt>
                <c:pt idx="149">
                  <c:v>-0.10780842545846916</c:v>
                </c:pt>
                <c:pt idx="150">
                  <c:v>-0.10611959165994682</c:v>
                </c:pt>
                <c:pt idx="151">
                  <c:v>-0.10146073980195429</c:v>
                </c:pt>
                <c:pt idx="152">
                  <c:v>-0.10241991518448201</c:v>
                </c:pt>
                <c:pt idx="153">
                  <c:v>-0.09544172244151497</c:v>
                </c:pt>
                <c:pt idx="154">
                  <c:v>-0.10046711632068808</c:v>
                </c:pt>
                <c:pt idx="155">
                  <c:v>-0.10594811850656174</c:v>
                </c:pt>
                <c:pt idx="156">
                  <c:v>-0.10348166752291853</c:v>
                </c:pt>
                <c:pt idx="157">
                  <c:v>-0.0879978363478251</c:v>
                </c:pt>
                <c:pt idx="158">
                  <c:v>-0.07991335812366128</c:v>
                </c:pt>
                <c:pt idx="159">
                  <c:v>-0.09087259184880389</c:v>
                </c:pt>
                <c:pt idx="160">
                  <c:v>-0.06746528688875679</c:v>
                </c:pt>
                <c:pt idx="161">
                  <c:v>-0.06636908645158196</c:v>
                </c:pt>
                <c:pt idx="162">
                  <c:v>-0.06821892468931445</c:v>
                </c:pt>
                <c:pt idx="163">
                  <c:v>-0.068102458229667</c:v>
                </c:pt>
                <c:pt idx="164">
                  <c:v>-0.047152817302646456</c:v>
                </c:pt>
                <c:pt idx="165">
                  <c:v>-0.04185866933417008</c:v>
                </c:pt>
                <c:pt idx="166">
                  <c:v>-0.042954289726813984</c:v>
                </c:pt>
                <c:pt idx="167">
                  <c:v>-0.04224840333101718</c:v>
                </c:pt>
                <c:pt idx="168">
                  <c:v>-0.02262158503908322</c:v>
                </c:pt>
                <c:pt idx="169">
                  <c:v>-0.027120135509721133</c:v>
                </c:pt>
                <c:pt idx="170">
                  <c:v>-0.025496596799388205</c:v>
                </c:pt>
                <c:pt idx="171">
                  <c:v>-0.031180780884089602</c:v>
                </c:pt>
                <c:pt idx="172">
                  <c:v>-0.015958340758729987</c:v>
                </c:pt>
                <c:pt idx="173">
                  <c:v>-0.015360350510303704</c:v>
                </c:pt>
                <c:pt idx="174">
                  <c:v>-0.019879087899934814</c:v>
                </c:pt>
                <c:pt idx="175">
                  <c:v>-0.013608398609761454</c:v>
                </c:pt>
                <c:pt idx="176">
                  <c:v>0.006628610738096451</c:v>
                </c:pt>
                <c:pt idx="177">
                  <c:v>0.027811655148347283</c:v>
                </c:pt>
                <c:pt idx="178">
                  <c:v>0.036871025758575794</c:v>
                </c:pt>
                <c:pt idx="179">
                  <c:v>0.033148147178245144</c:v>
                </c:pt>
                <c:pt idx="180">
                  <c:v>0.029966804300032405</c:v>
                </c:pt>
                <c:pt idx="181">
                  <c:v>0.034187530950102483</c:v>
                </c:pt>
                <c:pt idx="182">
                  <c:v>0.019715872405617667</c:v>
                </c:pt>
                <c:pt idx="183">
                  <c:v>-0.0002976712469723681</c:v>
                </c:pt>
                <c:pt idx="184">
                  <c:v>0.009633665614814439</c:v>
                </c:pt>
                <c:pt idx="185">
                  <c:v>0.009417028792999164</c:v>
                </c:pt>
                <c:pt idx="186">
                  <c:v>0.008272995734093602</c:v>
                </c:pt>
                <c:pt idx="187">
                  <c:v>-0.014836472055796537</c:v>
                </c:pt>
                <c:pt idx="188">
                  <c:v>-0.002709721631398774</c:v>
                </c:pt>
                <c:pt idx="189">
                  <c:v>0.0063662739692512335</c:v>
                </c:pt>
                <c:pt idx="190">
                  <c:v>0.032885880077258976</c:v>
                </c:pt>
                <c:pt idx="191">
                  <c:v>0.018699870146831447</c:v>
                </c:pt>
                <c:pt idx="192">
                  <c:v>0.049826035193695724</c:v>
                </c:pt>
                <c:pt idx="193">
                  <c:v>0.05145214471640626</c:v>
                </c:pt>
                <c:pt idx="194">
                  <c:v>0.07921479155499193</c:v>
                </c:pt>
                <c:pt idx="195">
                  <c:v>0.12738630937150267</c:v>
                </c:pt>
                <c:pt idx="196">
                  <c:v>0.19158892143282463</c:v>
                </c:pt>
                <c:pt idx="197">
                  <c:v>0.1927714245100576</c:v>
                </c:pt>
                <c:pt idx="198">
                  <c:v>0.20428411366471055</c:v>
                </c:pt>
                <c:pt idx="199">
                  <c:v>0.24360798640450612</c:v>
                </c:pt>
                <c:pt idx="200">
                  <c:v>0.2574126519819653</c:v>
                </c:pt>
                <c:pt idx="201">
                  <c:v>0.27535464371228363</c:v>
                </c:pt>
                <c:pt idx="202">
                  <c:v>0.2728094409107096</c:v>
                </c:pt>
                <c:pt idx="203">
                  <c:v>0.2811885281809324</c:v>
                </c:pt>
                <c:pt idx="204">
                  <c:v>0.28333337280009896</c:v>
                </c:pt>
                <c:pt idx="205">
                  <c:v>0.2859007736564593</c:v>
                </c:pt>
                <c:pt idx="206">
                  <c:v>0.29243889589399935</c:v>
                </c:pt>
                <c:pt idx="207">
                  <c:v>0.3329510589929286</c:v>
                </c:pt>
                <c:pt idx="208">
                  <c:v>0.3327603868164444</c:v>
                </c:pt>
                <c:pt idx="209">
                  <c:v>0.3311624967758537</c:v>
                </c:pt>
                <c:pt idx="210">
                  <c:v>0.3451849824342849</c:v>
                </c:pt>
                <c:pt idx="211">
                  <c:v>0.34806488736101576</c:v>
                </c:pt>
                <c:pt idx="212">
                  <c:v>0.3863099659084346</c:v>
                </c:pt>
                <c:pt idx="213">
                  <c:v>0.4456143371248901</c:v>
                </c:pt>
                <c:pt idx="214">
                  <c:v>0.48869442733538676</c:v>
                </c:pt>
                <c:pt idx="215">
                  <c:v>0.46657985440504074</c:v>
                </c:pt>
                <c:pt idx="216">
                  <c:v>0.4837566268041345</c:v>
                </c:pt>
                <c:pt idx="217">
                  <c:v>0.4893133218105085</c:v>
                </c:pt>
                <c:pt idx="218">
                  <c:v>0.5129282370173495</c:v>
                </c:pt>
                <c:pt idx="219">
                  <c:v>0.5326766857637811</c:v>
                </c:pt>
                <c:pt idx="220">
                  <c:v>0.523059857320508</c:v>
                </c:pt>
                <c:pt idx="221">
                  <c:v>0.44391904022028084</c:v>
                </c:pt>
                <c:pt idx="222">
                  <c:v>0.4411317909334576</c:v>
                </c:pt>
                <c:pt idx="223">
                  <c:v>0.4653449191449089</c:v>
                </c:pt>
                <c:pt idx="224">
                  <c:v>0.49282403169614314</c:v>
                </c:pt>
                <c:pt idx="225">
                  <c:v>0.5170941112605588</c:v>
                </c:pt>
                <c:pt idx="226">
                  <c:v>0.579384113093675</c:v>
                </c:pt>
                <c:pt idx="227">
                  <c:v>0.5797991952915855</c:v>
                </c:pt>
                <c:pt idx="228">
                  <c:v>0.6040419569129494</c:v>
                </c:pt>
                <c:pt idx="229">
                  <c:v>0.622416123846392</c:v>
                </c:pt>
                <c:pt idx="230">
                  <c:v>0.6284694058992552</c:v>
                </c:pt>
                <c:pt idx="231">
                  <c:v>0.6030952754851565</c:v>
                </c:pt>
                <c:pt idx="232">
                  <c:v>0.6036953978678773</c:v>
                </c:pt>
                <c:pt idx="233">
                  <c:v>0.5932265059838249</c:v>
                </c:pt>
                <c:pt idx="234">
                  <c:v>0.5595010774035891</c:v>
                </c:pt>
                <c:pt idx="235">
                  <c:v>0.5576787281940291</c:v>
                </c:pt>
                <c:pt idx="236">
                  <c:v>0.6050475661767727</c:v>
                </c:pt>
                <c:pt idx="237">
                  <c:v>0.6465557859678317</c:v>
                </c:pt>
                <c:pt idx="238">
                  <c:v>0.6571150066561859</c:v>
                </c:pt>
                <c:pt idx="239">
                  <c:v>0.6720755687251774</c:v>
                </c:pt>
                <c:pt idx="240">
                  <c:v>0.6686273425464014</c:v>
                </c:pt>
                <c:pt idx="241">
                  <c:v>0.6906825829355738</c:v>
                </c:pt>
                <c:pt idx="242">
                  <c:v>0.7020615854303724</c:v>
                </c:pt>
                <c:pt idx="243">
                  <c:v>0.6956624015459176</c:v>
                </c:pt>
                <c:pt idx="244">
                  <c:v>0.6807401965310318</c:v>
                </c:pt>
                <c:pt idx="245">
                  <c:v>0.6869306829667083</c:v>
                </c:pt>
                <c:pt idx="246">
                  <c:v>0.7118045528568672</c:v>
                </c:pt>
                <c:pt idx="247">
                  <c:v>0.7436519420326558</c:v>
                </c:pt>
                <c:pt idx="248">
                  <c:v>0.7663085811823087</c:v>
                </c:pt>
                <c:pt idx="249">
                  <c:v>0.7785214063306993</c:v>
                </c:pt>
                <c:pt idx="250">
                  <c:v>0.8418348676916578</c:v>
                </c:pt>
                <c:pt idx="251">
                  <c:v>0.8399697044828922</c:v>
                </c:pt>
                <c:pt idx="252">
                  <c:v>0.8524277048495159</c:v>
                </c:pt>
                <c:pt idx="253">
                  <c:v>0.8490032767167535</c:v>
                </c:pt>
                <c:pt idx="254">
                  <c:v>0.8461876358075932</c:v>
                </c:pt>
                <c:pt idx="255">
                  <c:v>0.8532992391043955</c:v>
                </c:pt>
                <c:pt idx="256">
                  <c:v>0.8460964560847853</c:v>
                </c:pt>
                <c:pt idx="257">
                  <c:v>0.8546831923325957</c:v>
                </c:pt>
                <c:pt idx="258">
                  <c:v>0.8883137371905165</c:v>
                </c:pt>
                <c:pt idx="259">
                  <c:v>0.8610690778263734</c:v>
                </c:pt>
                <c:pt idx="260">
                  <c:v>0.8849165238761361</c:v>
                </c:pt>
                <c:pt idx="261">
                  <c:v>0.8422372934152641</c:v>
                </c:pt>
                <c:pt idx="262">
                  <c:v>0.8032456922989567</c:v>
                </c:pt>
                <c:pt idx="263">
                  <c:v>0.7363443840181859</c:v>
                </c:pt>
                <c:pt idx="264">
                  <c:v>0.7606920221069734</c:v>
                </c:pt>
                <c:pt idx="265">
                  <c:v>0.6809903621517566</c:v>
                </c:pt>
                <c:pt idx="266">
                  <c:v>0.6476822578282697</c:v>
                </c:pt>
                <c:pt idx="267">
                  <c:v>0.6100339314224219</c:v>
                </c:pt>
                <c:pt idx="268">
                  <c:v>0.6349282052233901</c:v>
                </c:pt>
                <c:pt idx="269">
                  <c:v>0.6713116669080929</c:v>
                </c:pt>
                <c:pt idx="270">
                  <c:v>0.7432034154961761</c:v>
                </c:pt>
                <c:pt idx="271">
                  <c:v>0.7843921230577781</c:v>
                </c:pt>
                <c:pt idx="272">
                  <c:v>0.8131378324306672</c:v>
                </c:pt>
                <c:pt idx="273">
                  <c:v>0.8485114267420393</c:v>
                </c:pt>
                <c:pt idx="274">
                  <c:v>0.8376174693153144</c:v>
                </c:pt>
                <c:pt idx="275">
                  <c:v>0.8331408278525881</c:v>
                </c:pt>
                <c:pt idx="276">
                  <c:v>0.8171748869004163</c:v>
                </c:pt>
                <c:pt idx="277">
                  <c:v>0.8139148220880098</c:v>
                </c:pt>
                <c:pt idx="278">
                  <c:v>0.8619120360302109</c:v>
                </c:pt>
                <c:pt idx="279">
                  <c:v>0.8385161308984188</c:v>
                </c:pt>
                <c:pt idx="280">
                  <c:v>0.833350274569648</c:v>
                </c:pt>
                <c:pt idx="281">
                  <c:v>0.8337977514663392</c:v>
                </c:pt>
                <c:pt idx="282">
                  <c:v>0.8427213798244145</c:v>
                </c:pt>
                <c:pt idx="283">
                  <c:v>0.8378798620915409</c:v>
                </c:pt>
                <c:pt idx="284">
                  <c:v>0.8388099096806183</c:v>
                </c:pt>
                <c:pt idx="285">
                  <c:v>0.8327211981307923</c:v>
                </c:pt>
                <c:pt idx="286">
                  <c:v>0.8011400156536245</c:v>
                </c:pt>
                <c:pt idx="287">
                  <c:v>0.7896174080598558</c:v>
                </c:pt>
                <c:pt idx="288">
                  <c:v>0.794307080023019</c:v>
                </c:pt>
                <c:pt idx="289">
                  <c:v>0.7729091961268415</c:v>
                </c:pt>
                <c:pt idx="290">
                  <c:v>0.7671171792242654</c:v>
                </c:pt>
                <c:pt idx="291">
                  <c:v>0.7806648724384909</c:v>
                </c:pt>
                <c:pt idx="292">
                  <c:v>0.7908980016016699</c:v>
                </c:pt>
                <c:pt idx="293">
                  <c:v>0.7965768721805754</c:v>
                </c:pt>
                <c:pt idx="294">
                  <c:v>0.9074215559292917</c:v>
                </c:pt>
                <c:pt idx="295">
                  <c:v>0.8930324796628143</c:v>
                </c:pt>
                <c:pt idx="296">
                  <c:v>0.8872243618787972</c:v>
                </c:pt>
                <c:pt idx="297">
                  <c:v>0.8879469226858566</c:v>
                </c:pt>
                <c:pt idx="298">
                  <c:v>0.8799972990268399</c:v>
                </c:pt>
                <c:pt idx="299">
                  <c:v>0.8595389268672723</c:v>
                </c:pt>
                <c:pt idx="300">
                  <c:v>0.8496843543011201</c:v>
                </c:pt>
                <c:pt idx="301">
                  <c:v>0.8733970315565891</c:v>
                </c:pt>
                <c:pt idx="302">
                  <c:v>0.8420372262403426</c:v>
                </c:pt>
                <c:pt idx="303">
                  <c:v>0.838098318414857</c:v>
                </c:pt>
                <c:pt idx="304">
                  <c:v>0.8118398639716935</c:v>
                </c:pt>
                <c:pt idx="305">
                  <c:v>0.8046752985270631</c:v>
                </c:pt>
                <c:pt idx="306">
                  <c:v>0.7907788778062245</c:v>
                </c:pt>
                <c:pt idx="307">
                  <c:v>0.7946407986020136</c:v>
                </c:pt>
                <c:pt idx="308">
                  <c:v>0.7826740580714706</c:v>
                </c:pt>
                <c:pt idx="309">
                  <c:v>0.742673640410061</c:v>
                </c:pt>
                <c:pt idx="310">
                  <c:v>0.7494178022756546</c:v>
                </c:pt>
                <c:pt idx="311">
                  <c:v>0.7141378633121775</c:v>
                </c:pt>
                <c:pt idx="312">
                  <c:v>0.6870940106154902</c:v>
                </c:pt>
                <c:pt idx="313">
                  <c:v>0.6628728307609817</c:v>
                </c:pt>
                <c:pt idx="314">
                  <c:v>0.5790941920537277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'Perf.'!$A$4:$A$500</c:f>
              <c:strCache>
                <c:ptCount val="4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  <c:pt idx="110">
                  <c:v>3/4</c:v>
                </c:pt>
                <c:pt idx="111">
                  <c:v>4/4</c:v>
                </c:pt>
                <c:pt idx="112">
                  <c:v>8/4</c:v>
                </c:pt>
                <c:pt idx="113">
                  <c:v>9/4</c:v>
                </c:pt>
                <c:pt idx="114">
                  <c:v>10/4</c:v>
                </c:pt>
                <c:pt idx="115">
                  <c:v>11/4</c:v>
                </c:pt>
                <c:pt idx="116">
                  <c:v>16/4</c:v>
                </c:pt>
                <c:pt idx="117">
                  <c:v>17/4</c:v>
                </c:pt>
                <c:pt idx="118">
                  <c:v>18/4</c:v>
                </c:pt>
                <c:pt idx="119">
                  <c:v>21/4</c:v>
                </c:pt>
                <c:pt idx="120">
                  <c:v>22/4</c:v>
                </c:pt>
                <c:pt idx="121">
                  <c:v>23/4</c:v>
                </c:pt>
                <c:pt idx="122">
                  <c:v>24/4</c:v>
                </c:pt>
                <c:pt idx="123">
                  <c:v>25/4</c:v>
                </c:pt>
                <c:pt idx="124">
                  <c:v>28/4</c:v>
                </c:pt>
                <c:pt idx="125">
                  <c:v>29/4</c:v>
                </c:pt>
                <c:pt idx="126">
                  <c:v>30/4</c:v>
                </c:pt>
                <c:pt idx="127">
                  <c:v>2/5</c:v>
                </c:pt>
                <c:pt idx="128">
                  <c:v>6/5</c:v>
                </c:pt>
                <c:pt idx="129">
                  <c:v>7/5</c:v>
                </c:pt>
                <c:pt idx="130">
                  <c:v>8/5</c:v>
                </c:pt>
                <c:pt idx="131">
                  <c:v>9/5</c:v>
                </c:pt>
                <c:pt idx="132">
                  <c:v>12/5</c:v>
                </c:pt>
                <c:pt idx="133">
                  <c:v>13/5</c:v>
                </c:pt>
                <c:pt idx="134">
                  <c:v>14/5</c:v>
                </c:pt>
                <c:pt idx="135">
                  <c:v>16/5</c:v>
                </c:pt>
                <c:pt idx="136">
                  <c:v>19/5</c:v>
                </c:pt>
                <c:pt idx="137">
                  <c:v>20/5</c:v>
                </c:pt>
                <c:pt idx="138">
                  <c:v>21/5</c:v>
                </c:pt>
                <c:pt idx="139">
                  <c:v>22/5</c:v>
                </c:pt>
                <c:pt idx="140">
                  <c:v>23/5</c:v>
                </c:pt>
                <c:pt idx="141">
                  <c:v>26/5</c:v>
                </c:pt>
                <c:pt idx="142">
                  <c:v>27/5</c:v>
                </c:pt>
                <c:pt idx="143">
                  <c:v>28/5</c:v>
                </c:pt>
                <c:pt idx="144">
                  <c:v>29/5</c:v>
                </c:pt>
                <c:pt idx="145">
                  <c:v>30/5</c:v>
                </c:pt>
                <c:pt idx="146">
                  <c:v>2/6</c:v>
                </c:pt>
                <c:pt idx="147">
                  <c:v>3/6</c:v>
                </c:pt>
                <c:pt idx="148">
                  <c:v>4/6</c:v>
                </c:pt>
                <c:pt idx="149">
                  <c:v>5/6</c:v>
                </c:pt>
                <c:pt idx="150">
                  <c:v>6/6</c:v>
                </c:pt>
                <c:pt idx="151">
                  <c:v>9/6</c:v>
                </c:pt>
                <c:pt idx="152">
                  <c:v>10/6</c:v>
                </c:pt>
                <c:pt idx="153">
                  <c:v>11/6</c:v>
                </c:pt>
                <c:pt idx="154">
                  <c:v>12/6</c:v>
                </c:pt>
                <c:pt idx="155">
                  <c:v>13/6</c:v>
                </c:pt>
                <c:pt idx="156">
                  <c:v>16/6</c:v>
                </c:pt>
                <c:pt idx="157">
                  <c:v>17/6</c:v>
                </c:pt>
                <c:pt idx="158">
                  <c:v>18/6</c:v>
                </c:pt>
                <c:pt idx="159">
                  <c:v>19/6</c:v>
                </c:pt>
                <c:pt idx="160">
                  <c:v>20/6</c:v>
                </c:pt>
                <c:pt idx="161">
                  <c:v>23/6</c:v>
                </c:pt>
                <c:pt idx="162">
                  <c:v>24/6</c:v>
                </c:pt>
                <c:pt idx="163">
                  <c:v>25/6</c:v>
                </c:pt>
                <c:pt idx="164">
                  <c:v>26/6</c:v>
                </c:pt>
                <c:pt idx="165">
                  <c:v>27/6</c:v>
                </c:pt>
                <c:pt idx="166">
                  <c:v>30/6</c:v>
                </c:pt>
                <c:pt idx="167">
                  <c:v>2/7</c:v>
                </c:pt>
                <c:pt idx="168">
                  <c:v>3/7</c:v>
                </c:pt>
                <c:pt idx="169">
                  <c:v>4/7</c:v>
                </c:pt>
                <c:pt idx="170">
                  <c:v>7/7</c:v>
                </c:pt>
                <c:pt idx="171">
                  <c:v>8/7</c:v>
                </c:pt>
                <c:pt idx="172">
                  <c:v>9/7</c:v>
                </c:pt>
                <c:pt idx="173">
                  <c:v>10/7</c:v>
                </c:pt>
                <c:pt idx="174">
                  <c:v>11/7</c:v>
                </c:pt>
                <c:pt idx="175">
                  <c:v>15/7</c:v>
                </c:pt>
                <c:pt idx="176">
                  <c:v>16/7</c:v>
                </c:pt>
                <c:pt idx="177">
                  <c:v>17/7</c:v>
                </c:pt>
                <c:pt idx="178">
                  <c:v>18/7</c:v>
                </c:pt>
                <c:pt idx="179">
                  <c:v>21/7</c:v>
                </c:pt>
                <c:pt idx="180">
                  <c:v>22/7</c:v>
                </c:pt>
                <c:pt idx="181">
                  <c:v>23/7</c:v>
                </c:pt>
                <c:pt idx="182">
                  <c:v>24/7</c:v>
                </c:pt>
                <c:pt idx="183">
                  <c:v>25/7</c:v>
                </c:pt>
                <c:pt idx="184">
                  <c:v>28/7</c:v>
                </c:pt>
                <c:pt idx="185">
                  <c:v>29/7</c:v>
                </c:pt>
                <c:pt idx="186">
                  <c:v>30/7</c:v>
                </c:pt>
                <c:pt idx="187">
                  <c:v>31/7</c:v>
                </c:pt>
                <c:pt idx="188">
                  <c:v>1/8</c:v>
                </c:pt>
                <c:pt idx="189">
                  <c:v>4/8</c:v>
                </c:pt>
                <c:pt idx="190">
                  <c:v>5/8</c:v>
                </c:pt>
                <c:pt idx="191">
                  <c:v>6/8</c:v>
                </c:pt>
                <c:pt idx="192">
                  <c:v>7/8</c:v>
                </c:pt>
                <c:pt idx="193">
                  <c:v>8/8</c:v>
                </c:pt>
                <c:pt idx="194">
                  <c:v>11/8</c:v>
                </c:pt>
                <c:pt idx="195">
                  <c:v>13/8</c:v>
                </c:pt>
                <c:pt idx="196">
                  <c:v>14/8</c:v>
                </c:pt>
                <c:pt idx="197">
                  <c:v>15/8</c:v>
                </c:pt>
                <c:pt idx="198">
                  <c:v>18/8</c:v>
                </c:pt>
                <c:pt idx="199">
                  <c:v>19/8</c:v>
                </c:pt>
                <c:pt idx="200">
                  <c:v>20/8</c:v>
                </c:pt>
                <c:pt idx="201">
                  <c:v>21/8</c:v>
                </c:pt>
                <c:pt idx="202">
                  <c:v>22/8</c:v>
                </c:pt>
                <c:pt idx="203">
                  <c:v>25/8</c:v>
                </c:pt>
                <c:pt idx="204">
                  <c:v>26/8</c:v>
                </c:pt>
                <c:pt idx="205">
                  <c:v>27/8</c:v>
                </c:pt>
                <c:pt idx="206">
                  <c:v>28/8</c:v>
                </c:pt>
                <c:pt idx="207">
                  <c:v>29/8</c:v>
                </c:pt>
                <c:pt idx="208">
                  <c:v>1/9</c:v>
                </c:pt>
                <c:pt idx="209">
                  <c:v>2/9</c:v>
                </c:pt>
                <c:pt idx="210">
                  <c:v>3/9</c:v>
                </c:pt>
                <c:pt idx="211">
                  <c:v>4/9</c:v>
                </c:pt>
                <c:pt idx="212">
                  <c:v>5/9</c:v>
                </c:pt>
                <c:pt idx="213">
                  <c:v>8/9</c:v>
                </c:pt>
                <c:pt idx="214">
                  <c:v>9/9</c:v>
                </c:pt>
                <c:pt idx="215">
                  <c:v>10/9</c:v>
                </c:pt>
                <c:pt idx="216">
                  <c:v>11/9</c:v>
                </c:pt>
                <c:pt idx="217">
                  <c:v>12/9</c:v>
                </c:pt>
                <c:pt idx="218">
                  <c:v>15/9</c:v>
                </c:pt>
                <c:pt idx="219">
                  <c:v>16/9</c:v>
                </c:pt>
                <c:pt idx="220">
                  <c:v>17/9</c:v>
                </c:pt>
                <c:pt idx="221">
                  <c:v>18/9</c:v>
                </c:pt>
                <c:pt idx="222">
                  <c:v>19/9</c:v>
                </c:pt>
                <c:pt idx="223">
                  <c:v>22/9</c:v>
                </c:pt>
                <c:pt idx="224">
                  <c:v>23/9</c:v>
                </c:pt>
                <c:pt idx="225">
                  <c:v>24/9</c:v>
                </c:pt>
                <c:pt idx="226">
                  <c:v>25/9</c:v>
                </c:pt>
                <c:pt idx="227">
                  <c:v>26/9</c:v>
                </c:pt>
                <c:pt idx="228">
                  <c:v>29/9</c:v>
                </c:pt>
                <c:pt idx="229">
                  <c:v>30/9</c:v>
                </c:pt>
                <c:pt idx="230">
                  <c:v>1/10</c:v>
                </c:pt>
                <c:pt idx="231">
                  <c:v>2/10</c:v>
                </c:pt>
                <c:pt idx="232">
                  <c:v>3/10</c:v>
                </c:pt>
                <c:pt idx="233">
                  <c:v>6/10</c:v>
                </c:pt>
                <c:pt idx="234">
                  <c:v>7/10</c:v>
                </c:pt>
                <c:pt idx="235">
                  <c:v>8/10</c:v>
                </c:pt>
                <c:pt idx="236">
                  <c:v>9/10</c:v>
                </c:pt>
                <c:pt idx="237">
                  <c:v>10/10</c:v>
                </c:pt>
                <c:pt idx="238">
                  <c:v>13/10</c:v>
                </c:pt>
                <c:pt idx="239">
                  <c:v>14/10</c:v>
                </c:pt>
                <c:pt idx="240">
                  <c:v>15/10</c:v>
                </c:pt>
                <c:pt idx="241">
                  <c:v>16/10</c:v>
                </c:pt>
                <c:pt idx="242">
                  <c:v>17/10</c:v>
                </c:pt>
                <c:pt idx="243">
                  <c:v>20/10</c:v>
                </c:pt>
                <c:pt idx="244">
                  <c:v>21/10</c:v>
                </c:pt>
                <c:pt idx="245">
                  <c:v>22/10</c:v>
                </c:pt>
                <c:pt idx="246">
                  <c:v>24/10</c:v>
                </c:pt>
                <c:pt idx="247">
                  <c:v>27/10</c:v>
                </c:pt>
                <c:pt idx="248">
                  <c:v>28/10</c:v>
                </c:pt>
                <c:pt idx="249">
                  <c:v>29/10</c:v>
                </c:pt>
                <c:pt idx="250">
                  <c:v>30/10</c:v>
                </c:pt>
                <c:pt idx="251">
                  <c:v>31/10</c:v>
                </c:pt>
                <c:pt idx="252">
                  <c:v>3/11</c:v>
                </c:pt>
                <c:pt idx="253">
                  <c:v>4/11</c:v>
                </c:pt>
                <c:pt idx="254">
                  <c:v>5/11</c:v>
                </c:pt>
                <c:pt idx="255">
                  <c:v>6/11</c:v>
                </c:pt>
                <c:pt idx="256">
                  <c:v>7/11</c:v>
                </c:pt>
                <c:pt idx="257">
                  <c:v>10/11</c:v>
                </c:pt>
                <c:pt idx="258">
                  <c:v>11/11</c:v>
                </c:pt>
                <c:pt idx="259">
                  <c:v>12/11</c:v>
                </c:pt>
                <c:pt idx="260">
                  <c:v>13/11</c:v>
                </c:pt>
                <c:pt idx="261">
                  <c:v>14/11</c:v>
                </c:pt>
                <c:pt idx="262">
                  <c:v>17/11</c:v>
                </c:pt>
                <c:pt idx="263">
                  <c:v>18/11</c:v>
                </c:pt>
                <c:pt idx="264">
                  <c:v>19/11</c:v>
                </c:pt>
                <c:pt idx="265">
                  <c:v>20/11</c:v>
                </c:pt>
                <c:pt idx="266">
                  <c:v>21/11</c:v>
                </c:pt>
                <c:pt idx="267">
                  <c:v>24/11</c:v>
                </c:pt>
                <c:pt idx="268">
                  <c:v>25/11</c:v>
                </c:pt>
                <c:pt idx="269">
                  <c:v>26/11</c:v>
                </c:pt>
                <c:pt idx="270">
                  <c:v>27/11</c:v>
                </c:pt>
                <c:pt idx="271">
                  <c:v>28/11</c:v>
                </c:pt>
                <c:pt idx="272">
                  <c:v>1/12</c:v>
                </c:pt>
                <c:pt idx="273">
                  <c:v>2/12</c:v>
                </c:pt>
                <c:pt idx="274">
                  <c:v>3/12</c:v>
                </c:pt>
                <c:pt idx="275">
                  <c:v>4/12</c:v>
                </c:pt>
                <c:pt idx="276">
                  <c:v>8/12</c:v>
                </c:pt>
                <c:pt idx="277">
                  <c:v>9/12</c:v>
                </c:pt>
                <c:pt idx="278">
                  <c:v>11/12</c:v>
                </c:pt>
                <c:pt idx="279">
                  <c:v>12/12</c:v>
                </c:pt>
                <c:pt idx="280">
                  <c:v>15/12</c:v>
                </c:pt>
                <c:pt idx="281">
                  <c:v>16/12</c:v>
                </c:pt>
                <c:pt idx="282">
                  <c:v>17/12</c:v>
                </c:pt>
                <c:pt idx="283">
                  <c:v>18/12</c:v>
                </c:pt>
                <c:pt idx="284">
                  <c:v>19/12</c:v>
                </c:pt>
                <c:pt idx="285">
                  <c:v>22/12</c:v>
                </c:pt>
                <c:pt idx="286">
                  <c:v>23/12</c:v>
                </c:pt>
                <c:pt idx="287">
                  <c:v>24/12</c:v>
                </c:pt>
                <c:pt idx="288">
                  <c:v>25/12</c:v>
                </c:pt>
                <c:pt idx="289">
                  <c:v>26/12</c:v>
                </c:pt>
                <c:pt idx="290">
                  <c:v>29/12</c:v>
                </c:pt>
                <c:pt idx="291">
                  <c:v>30/12</c:v>
                </c:pt>
                <c:pt idx="292">
                  <c:v>31/12</c:v>
                </c:pt>
                <c:pt idx="293">
                  <c:v>5/1</c:v>
                </c:pt>
                <c:pt idx="294">
                  <c:v>6/1</c:v>
                </c:pt>
                <c:pt idx="295">
                  <c:v>7/1</c:v>
                </c:pt>
                <c:pt idx="296">
                  <c:v>8/1</c:v>
                </c:pt>
                <c:pt idx="297">
                  <c:v>9/1</c:v>
                </c:pt>
                <c:pt idx="298">
                  <c:v>12/1</c:v>
                </c:pt>
                <c:pt idx="299">
                  <c:v>13/1</c:v>
                </c:pt>
                <c:pt idx="300">
                  <c:v>14/1</c:v>
                </c:pt>
                <c:pt idx="301">
                  <c:v>15/1</c:v>
                </c:pt>
                <c:pt idx="302">
                  <c:v>16/1</c:v>
                </c:pt>
                <c:pt idx="303">
                  <c:v>19/1</c:v>
                </c:pt>
                <c:pt idx="304">
                  <c:v>20/1</c:v>
                </c:pt>
                <c:pt idx="305">
                  <c:v>21/1</c:v>
                </c:pt>
                <c:pt idx="306">
                  <c:v>22/1</c:v>
                </c:pt>
                <c:pt idx="307">
                  <c:v>23/1</c:v>
                </c:pt>
                <c:pt idx="308">
                  <c:v>26/1</c:v>
                </c:pt>
                <c:pt idx="309">
                  <c:v>27/1</c:v>
                </c:pt>
                <c:pt idx="310">
                  <c:v>28/1</c:v>
                </c:pt>
                <c:pt idx="311">
                  <c:v>29/1</c:v>
                </c:pt>
                <c:pt idx="312">
                  <c:v>30/1</c:v>
                </c:pt>
                <c:pt idx="313">
                  <c:v>2/2</c:v>
                </c:pt>
              </c:strCache>
            </c:strRef>
          </c:cat>
          <c:val>
            <c:numRef>
              <c:f>'Perf.'!$I$3:$I$500</c:f>
              <c:numCache>
                <c:ptCount val="498"/>
                <c:pt idx="0">
                  <c:v>0</c:v>
                </c:pt>
                <c:pt idx="1">
                  <c:v>0.005605902172650189</c:v>
                </c:pt>
                <c:pt idx="2">
                  <c:v>0.006709654932032074</c:v>
                </c:pt>
                <c:pt idx="3">
                  <c:v>0.012141280353200903</c:v>
                </c:pt>
                <c:pt idx="4">
                  <c:v>0.038166608574416304</c:v>
                </c:pt>
                <c:pt idx="5">
                  <c:v>0.028087603113744676</c:v>
                </c:pt>
                <c:pt idx="6">
                  <c:v>0.031137446264668377</c:v>
                </c:pt>
                <c:pt idx="7">
                  <c:v>0.03758568606947849</c:v>
                </c:pt>
                <c:pt idx="8">
                  <c:v>0.038921807830835466</c:v>
                </c:pt>
                <c:pt idx="9">
                  <c:v>0.0421749738584874</c:v>
                </c:pt>
                <c:pt idx="10">
                  <c:v>0.03337399790867901</c:v>
                </c:pt>
                <c:pt idx="11">
                  <c:v>0.02765191123504136</c:v>
                </c:pt>
                <c:pt idx="12">
                  <c:v>0.03828279307540376</c:v>
                </c:pt>
                <c:pt idx="13">
                  <c:v>0.031137446264668377</c:v>
                </c:pt>
                <c:pt idx="14">
                  <c:v>0.017660044150110497</c:v>
                </c:pt>
                <c:pt idx="15">
                  <c:v>0.002294643894504533</c:v>
                </c:pt>
                <c:pt idx="16">
                  <c:v>-0.0017718136400602907</c:v>
                </c:pt>
                <c:pt idx="17">
                  <c:v>0.013564540490298642</c:v>
                </c:pt>
                <c:pt idx="18">
                  <c:v>0.034739165795283015</c:v>
                </c:pt>
                <c:pt idx="19">
                  <c:v>0.03723713256651578</c:v>
                </c:pt>
                <c:pt idx="20">
                  <c:v>0.027129080980597284</c:v>
                </c:pt>
                <c:pt idx="21">
                  <c:v>0.022946438945044834</c:v>
                </c:pt>
                <c:pt idx="22">
                  <c:v>0.04112931334959924</c:v>
                </c:pt>
                <c:pt idx="23">
                  <c:v>0.053183455327059384</c:v>
                </c:pt>
                <c:pt idx="24">
                  <c:v>0.05881840362495643</c:v>
                </c:pt>
                <c:pt idx="25">
                  <c:v>0.04917509004298829</c:v>
                </c:pt>
                <c:pt idx="26">
                  <c:v>0.049581735796444905</c:v>
                </c:pt>
                <c:pt idx="27">
                  <c:v>0.05812129661903116</c:v>
                </c:pt>
                <c:pt idx="28">
                  <c:v>0.059893110259091456</c:v>
                </c:pt>
                <c:pt idx="29">
                  <c:v>0.06503427442779146</c:v>
                </c:pt>
                <c:pt idx="30">
                  <c:v>0.05783083536656218</c:v>
                </c:pt>
                <c:pt idx="31">
                  <c:v>0.06000929476007908</c:v>
                </c:pt>
                <c:pt idx="32">
                  <c:v>0.0604449866387824</c:v>
                </c:pt>
                <c:pt idx="33">
                  <c:v>0.06120018589520173</c:v>
                </c:pt>
                <c:pt idx="34">
                  <c:v>0.06151969327291742</c:v>
                </c:pt>
                <c:pt idx="35">
                  <c:v>0.049901243174160594</c:v>
                </c:pt>
                <c:pt idx="36">
                  <c:v>0.03462298129429539</c:v>
                </c:pt>
                <c:pt idx="37">
                  <c:v>0.028029510863250943</c:v>
                </c:pt>
                <c:pt idx="38">
                  <c:v>0.024834437086092752</c:v>
                </c:pt>
                <c:pt idx="39">
                  <c:v>0.018415243406529662</c:v>
                </c:pt>
                <c:pt idx="40">
                  <c:v>0.017340536772394645</c:v>
                </c:pt>
                <c:pt idx="41">
                  <c:v>0.01664342976646921</c:v>
                </c:pt>
                <c:pt idx="42">
                  <c:v>0.01821192052980144</c:v>
                </c:pt>
                <c:pt idx="43">
                  <c:v>0.019315673289183325</c:v>
                </c:pt>
                <c:pt idx="44">
                  <c:v>0.02651911235041261</c:v>
                </c:pt>
                <c:pt idx="45">
                  <c:v>0.03218310677355653</c:v>
                </c:pt>
                <c:pt idx="46">
                  <c:v>0.03543627280120845</c:v>
                </c:pt>
                <c:pt idx="47">
                  <c:v>0.021029394678749883</c:v>
                </c:pt>
                <c:pt idx="48">
                  <c:v>0.03761473219472536</c:v>
                </c:pt>
                <c:pt idx="49">
                  <c:v>0.05771465086557455</c:v>
                </c:pt>
                <c:pt idx="50">
                  <c:v>0.06166492389915191</c:v>
                </c:pt>
                <c:pt idx="51">
                  <c:v>0.04685140002323705</c:v>
                </c:pt>
                <c:pt idx="52">
                  <c:v>0.042058789357499765</c:v>
                </c:pt>
                <c:pt idx="53">
                  <c:v>0.04673521552224943</c:v>
                </c:pt>
                <c:pt idx="54">
                  <c:v>0.057424189613105726</c:v>
                </c:pt>
                <c:pt idx="55">
                  <c:v>0.08437899384222149</c:v>
                </c:pt>
                <c:pt idx="56">
                  <c:v>0.07999302892994081</c:v>
                </c:pt>
                <c:pt idx="57">
                  <c:v>0.07610084814685734</c:v>
                </c:pt>
                <c:pt idx="58">
                  <c:v>0.0664575345648892</c:v>
                </c:pt>
                <c:pt idx="59">
                  <c:v>0.0789183222958058</c:v>
                </c:pt>
                <c:pt idx="60">
                  <c:v>0.09187289415591976</c:v>
                </c:pt>
                <c:pt idx="61">
                  <c:v>0.0839142558382713</c:v>
                </c:pt>
                <c:pt idx="62">
                  <c:v>0.09376089229696767</c:v>
                </c:pt>
                <c:pt idx="63">
                  <c:v>0.09300569304054851</c:v>
                </c:pt>
                <c:pt idx="64">
                  <c:v>0.07703032415475787</c:v>
                </c:pt>
                <c:pt idx="65">
                  <c:v>0.08853258975252708</c:v>
                </c:pt>
                <c:pt idx="66">
                  <c:v>0.07380620425235282</c:v>
                </c:pt>
                <c:pt idx="67">
                  <c:v>0.07557801789241327</c:v>
                </c:pt>
                <c:pt idx="68">
                  <c:v>0.07473568026025335</c:v>
                </c:pt>
                <c:pt idx="69">
                  <c:v>0.0816777041942605</c:v>
                </c:pt>
                <c:pt idx="70">
                  <c:v>0.08449517834320912</c:v>
                </c:pt>
                <c:pt idx="71">
                  <c:v>0.084233763215987</c:v>
                </c:pt>
                <c:pt idx="72">
                  <c:v>0.10113860810967833</c:v>
                </c:pt>
                <c:pt idx="73">
                  <c:v>0.10070291623097484</c:v>
                </c:pt>
                <c:pt idx="74">
                  <c:v>0.09062391077030338</c:v>
                </c:pt>
                <c:pt idx="75">
                  <c:v>0.10125479261066578</c:v>
                </c:pt>
                <c:pt idx="76">
                  <c:v>0.10450795863831772</c:v>
                </c:pt>
                <c:pt idx="77">
                  <c:v>0.07543278726617877</c:v>
                </c:pt>
                <c:pt idx="78">
                  <c:v>0.07095968397815734</c:v>
                </c:pt>
                <c:pt idx="79">
                  <c:v>0.07601370977111659</c:v>
                </c:pt>
                <c:pt idx="80">
                  <c:v>0.07813407691413976</c:v>
                </c:pt>
                <c:pt idx="81">
                  <c:v>0.05849889624724075</c:v>
                </c:pt>
                <c:pt idx="82">
                  <c:v>0.044295341001510405</c:v>
                </c:pt>
                <c:pt idx="83">
                  <c:v>0.05173114906471478</c:v>
                </c:pt>
                <c:pt idx="84">
                  <c:v>0.03624956430812135</c:v>
                </c:pt>
                <c:pt idx="85">
                  <c:v>0.03410015103985131</c:v>
                </c:pt>
                <c:pt idx="86">
                  <c:v>0.042436388985709346</c:v>
                </c:pt>
                <c:pt idx="87">
                  <c:v>0.04949459742070414</c:v>
                </c:pt>
                <c:pt idx="88">
                  <c:v>0.06793888695248067</c:v>
                </c:pt>
                <c:pt idx="89">
                  <c:v>0.05887649587545033</c:v>
                </c:pt>
                <c:pt idx="90">
                  <c:v>0.04537004763564542</c:v>
                </c:pt>
                <c:pt idx="91">
                  <c:v>0.042639711862437576</c:v>
                </c:pt>
                <c:pt idx="92">
                  <c:v>0.041245497850586864</c:v>
                </c:pt>
                <c:pt idx="93">
                  <c:v>0.02617055884744989</c:v>
                </c:pt>
                <c:pt idx="94">
                  <c:v>0.019460903915417816</c:v>
                </c:pt>
                <c:pt idx="95">
                  <c:v>0.023701638201464</c:v>
                </c:pt>
                <c:pt idx="96">
                  <c:v>0.026722435227140833</c:v>
                </c:pt>
                <c:pt idx="97">
                  <c:v>0.04054839084466143</c:v>
                </c:pt>
                <c:pt idx="98">
                  <c:v>0.030004647380039624</c:v>
                </c:pt>
                <c:pt idx="99">
                  <c:v>0.05393865458347871</c:v>
                </c:pt>
                <c:pt idx="100">
                  <c:v>0.0489427210410132</c:v>
                </c:pt>
                <c:pt idx="101">
                  <c:v>0.057569420239340224</c:v>
                </c:pt>
                <c:pt idx="102">
                  <c:v>0.05617520622748935</c:v>
                </c:pt>
                <c:pt idx="103">
                  <c:v>0.049378412919716515</c:v>
                </c:pt>
                <c:pt idx="104">
                  <c:v>0.05652375973045207</c:v>
                </c:pt>
                <c:pt idx="105">
                  <c:v>0.06930405483908451</c:v>
                </c:pt>
                <c:pt idx="106">
                  <c:v>0.07162774485883591</c:v>
                </c:pt>
                <c:pt idx="107">
                  <c:v>0.07334146624840247</c:v>
                </c:pt>
                <c:pt idx="108">
                  <c:v>0.05887649587545033</c:v>
                </c:pt>
                <c:pt idx="109">
                  <c:v>0.05210874869292453</c:v>
                </c:pt>
                <c:pt idx="110">
                  <c:v>0.05443243871267576</c:v>
                </c:pt>
                <c:pt idx="111">
                  <c:v>0.06053212501452316</c:v>
                </c:pt>
                <c:pt idx="112">
                  <c:v>0.08031253630765667</c:v>
                </c:pt>
                <c:pt idx="113">
                  <c:v>0.09161147902869764</c:v>
                </c:pt>
                <c:pt idx="114">
                  <c:v>0.09271523178807953</c:v>
                </c:pt>
                <c:pt idx="115">
                  <c:v>0.08928778900894624</c:v>
                </c:pt>
                <c:pt idx="116">
                  <c:v>0.11351225746485431</c:v>
                </c:pt>
                <c:pt idx="117">
                  <c:v>0.122748925293366</c:v>
                </c:pt>
                <c:pt idx="118">
                  <c:v>0.11720111537120956</c:v>
                </c:pt>
                <c:pt idx="119">
                  <c:v>0.11682351574299997</c:v>
                </c:pt>
                <c:pt idx="120">
                  <c:v>0.11972812826768918</c:v>
                </c:pt>
                <c:pt idx="121">
                  <c:v>0.10076100848146874</c:v>
                </c:pt>
                <c:pt idx="122">
                  <c:v>0.09036249564308126</c:v>
                </c:pt>
                <c:pt idx="123">
                  <c:v>0.07386429650284655</c:v>
                </c:pt>
                <c:pt idx="124">
                  <c:v>0.07043685372371326</c:v>
                </c:pt>
                <c:pt idx="125">
                  <c:v>0.07136632973161396</c:v>
                </c:pt>
                <c:pt idx="126">
                  <c:v>0.0833333333333335</c:v>
                </c:pt>
                <c:pt idx="127">
                  <c:v>0.08815499012431749</c:v>
                </c:pt>
                <c:pt idx="128">
                  <c:v>0.08992680376437795</c:v>
                </c:pt>
                <c:pt idx="129">
                  <c:v>0.10389799000813303</c:v>
                </c:pt>
                <c:pt idx="130">
                  <c:v>0.10215522249331944</c:v>
                </c:pt>
                <c:pt idx="131">
                  <c:v>0.09852445683745793</c:v>
                </c:pt>
                <c:pt idx="132">
                  <c:v>0.11630068548855589</c:v>
                </c:pt>
                <c:pt idx="133">
                  <c:v>0.1138898570930639</c:v>
                </c:pt>
                <c:pt idx="134">
                  <c:v>0.12347507842453831</c:v>
                </c:pt>
                <c:pt idx="135">
                  <c:v>0.11891483676077629</c:v>
                </c:pt>
                <c:pt idx="136">
                  <c:v>0.11246659695596616</c:v>
                </c:pt>
                <c:pt idx="137">
                  <c:v>0.10093528523294994</c:v>
                </c:pt>
                <c:pt idx="138">
                  <c:v>0.11237945858022556</c:v>
                </c:pt>
                <c:pt idx="139">
                  <c:v>0.125159753688858</c:v>
                </c:pt>
                <c:pt idx="140">
                  <c:v>0.12879051934471952</c:v>
                </c:pt>
                <c:pt idx="141">
                  <c:v>0.14883234576507498</c:v>
                </c:pt>
                <c:pt idx="142">
                  <c:v>0.15278261879865235</c:v>
                </c:pt>
                <c:pt idx="143">
                  <c:v>0.16384919251771823</c:v>
                </c:pt>
                <c:pt idx="144">
                  <c:v>0.17050075519925656</c:v>
                </c:pt>
                <c:pt idx="145">
                  <c:v>0.1717206924596259</c:v>
                </c:pt>
                <c:pt idx="146">
                  <c:v>0.17294062971999544</c:v>
                </c:pt>
                <c:pt idx="147">
                  <c:v>0.17572905774369701</c:v>
                </c:pt>
                <c:pt idx="148">
                  <c:v>0.17256303009178584</c:v>
                </c:pt>
                <c:pt idx="149">
                  <c:v>0.19867549668874185</c:v>
                </c:pt>
                <c:pt idx="150">
                  <c:v>0.20724410363657497</c:v>
                </c:pt>
                <c:pt idx="151">
                  <c:v>0.21473800395027307</c:v>
                </c:pt>
                <c:pt idx="152">
                  <c:v>0.2178459393516905</c:v>
                </c:pt>
                <c:pt idx="153">
                  <c:v>0.23170094109445813</c:v>
                </c:pt>
                <c:pt idx="154">
                  <c:v>0.22748925293365882</c:v>
                </c:pt>
                <c:pt idx="155">
                  <c:v>0.2540083652840713</c:v>
                </c:pt>
                <c:pt idx="156">
                  <c:v>0.24308702219123987</c:v>
                </c:pt>
                <c:pt idx="157">
                  <c:v>0.24825723248518658</c:v>
                </c:pt>
                <c:pt idx="158">
                  <c:v>0.2847101196700362</c:v>
                </c:pt>
                <c:pt idx="159">
                  <c:v>0.296038108516324</c:v>
                </c:pt>
                <c:pt idx="160">
                  <c:v>0.3192459625885908</c:v>
                </c:pt>
                <c:pt idx="161">
                  <c:v>0.3148019054258164</c:v>
                </c:pt>
                <c:pt idx="162">
                  <c:v>0.3326071802021612</c:v>
                </c:pt>
                <c:pt idx="163">
                  <c:v>0.30713372836063674</c:v>
                </c:pt>
                <c:pt idx="164">
                  <c:v>0.318374578831184</c:v>
                </c:pt>
                <c:pt idx="165">
                  <c:v>0.3342047170907401</c:v>
                </c:pt>
                <c:pt idx="166">
                  <c:v>0.3288892761705589</c:v>
                </c:pt>
                <c:pt idx="167">
                  <c:v>0.3414081561519694</c:v>
                </c:pt>
                <c:pt idx="168">
                  <c:v>0.38762054141977476</c:v>
                </c:pt>
                <c:pt idx="169">
                  <c:v>0.42267921459277347</c:v>
                </c:pt>
                <c:pt idx="170">
                  <c:v>0.4398745207389336</c:v>
                </c:pt>
                <c:pt idx="171">
                  <c:v>0.42131404670616945</c:v>
                </c:pt>
                <c:pt idx="172">
                  <c:v>0.4425467642616476</c:v>
                </c:pt>
                <c:pt idx="173">
                  <c:v>0.40153363541303594</c:v>
                </c:pt>
                <c:pt idx="174">
                  <c:v>0.37759962820959686</c:v>
                </c:pt>
                <c:pt idx="175">
                  <c:v>0.4069652608342048</c:v>
                </c:pt>
                <c:pt idx="176">
                  <c:v>0.4354595097014059</c:v>
                </c:pt>
                <c:pt idx="177">
                  <c:v>0.4615719762983619</c:v>
                </c:pt>
                <c:pt idx="178">
                  <c:v>0.4380155687231324</c:v>
                </c:pt>
                <c:pt idx="179">
                  <c:v>0.43209015917276655</c:v>
                </c:pt>
                <c:pt idx="180">
                  <c:v>0.4158243290345069</c:v>
                </c:pt>
                <c:pt idx="181">
                  <c:v>0.41913558731265255</c:v>
                </c:pt>
                <c:pt idx="182">
                  <c:v>0.3954920413616825</c:v>
                </c:pt>
                <c:pt idx="183">
                  <c:v>0.391018938073661</c:v>
                </c:pt>
                <c:pt idx="184">
                  <c:v>0.40833042872080877</c:v>
                </c:pt>
                <c:pt idx="185">
                  <c:v>0.3956082258626701</c:v>
                </c:pt>
                <c:pt idx="186">
                  <c:v>0.3892471244336007</c:v>
                </c:pt>
                <c:pt idx="187">
                  <c:v>0.37940048797490417</c:v>
                </c:pt>
                <c:pt idx="188">
                  <c:v>0.4061519693272919</c:v>
                </c:pt>
                <c:pt idx="189">
                  <c:v>0.42773324038573274</c:v>
                </c:pt>
                <c:pt idx="190">
                  <c:v>0.43731846171720695</c:v>
                </c:pt>
                <c:pt idx="191">
                  <c:v>0.4232310909724644</c:v>
                </c:pt>
                <c:pt idx="192">
                  <c:v>0.4225920762170327</c:v>
                </c:pt>
                <c:pt idx="193">
                  <c:v>0.4476007900546068</c:v>
                </c:pt>
                <c:pt idx="194">
                  <c:v>0.46334378993842235</c:v>
                </c:pt>
                <c:pt idx="195">
                  <c:v>0.49061810154525415</c:v>
                </c:pt>
                <c:pt idx="196">
                  <c:v>0.5253572673405368</c:v>
                </c:pt>
                <c:pt idx="197">
                  <c:v>0.5070001161845012</c:v>
                </c:pt>
                <c:pt idx="198">
                  <c:v>0.5076100848146857</c:v>
                </c:pt>
                <c:pt idx="199">
                  <c:v>0.511879865225979</c:v>
                </c:pt>
                <c:pt idx="200">
                  <c:v>0.5276519112350415</c:v>
                </c:pt>
                <c:pt idx="201">
                  <c:v>0.5135935866155457</c:v>
                </c:pt>
                <c:pt idx="202">
                  <c:v>0.5400546067154643</c:v>
                </c:pt>
                <c:pt idx="203">
                  <c:v>0.5534158243290345</c:v>
                </c:pt>
                <c:pt idx="204">
                  <c:v>0.5380794701986755</c:v>
                </c:pt>
                <c:pt idx="205">
                  <c:v>0.5425235273614499</c:v>
                </c:pt>
                <c:pt idx="206">
                  <c:v>0.5273033577320788</c:v>
                </c:pt>
                <c:pt idx="207">
                  <c:v>0.5566108981061927</c:v>
                </c:pt>
                <c:pt idx="208">
                  <c:v>0.5618392006506334</c:v>
                </c:pt>
                <c:pt idx="209">
                  <c:v>0.5836818868362962</c:v>
                </c:pt>
                <c:pt idx="210">
                  <c:v>0.574009527129081</c:v>
                </c:pt>
                <c:pt idx="211">
                  <c:v>0.5681422098292089</c:v>
                </c:pt>
                <c:pt idx="212">
                  <c:v>0.5842628093412339</c:v>
                </c:pt>
                <c:pt idx="213">
                  <c:v>0.6202219123968862</c:v>
                </c:pt>
                <c:pt idx="214">
                  <c:v>0.639392355059835</c:v>
                </c:pt>
                <c:pt idx="215">
                  <c:v>0.6194667131404671</c:v>
                </c:pt>
                <c:pt idx="216">
                  <c:v>0.6282386429650287</c:v>
                </c:pt>
                <c:pt idx="217">
                  <c:v>0.6314046706169397</c:v>
                </c:pt>
                <c:pt idx="218">
                  <c:v>0.6508946206576044</c:v>
                </c:pt>
                <c:pt idx="219">
                  <c:v>0.6455791797374231</c:v>
                </c:pt>
                <c:pt idx="220">
                  <c:v>0.6522307424189615</c:v>
                </c:pt>
                <c:pt idx="221">
                  <c:v>0.6228070175438599</c:v>
                </c:pt>
                <c:pt idx="222">
                  <c:v>0.607180202161032</c:v>
                </c:pt>
                <c:pt idx="223">
                  <c:v>0.647525270128965</c:v>
                </c:pt>
                <c:pt idx="224">
                  <c:v>0.6329441152550253</c:v>
                </c:pt>
                <c:pt idx="225">
                  <c:v>0.6443882886023006</c:v>
                </c:pt>
                <c:pt idx="226">
                  <c:v>0.6717497385848727</c:v>
                </c:pt>
                <c:pt idx="227">
                  <c:v>0.6750319507377716</c:v>
                </c:pt>
                <c:pt idx="228">
                  <c:v>0.6872022772162195</c:v>
                </c:pt>
                <c:pt idx="229">
                  <c:v>0.6873765539677007</c:v>
                </c:pt>
                <c:pt idx="230">
                  <c:v>0.6817125595445569</c:v>
                </c:pt>
                <c:pt idx="231">
                  <c:v>0.6549029859416755</c:v>
                </c:pt>
                <c:pt idx="232">
                  <c:v>0.6469733937492739</c:v>
                </c:pt>
                <c:pt idx="233">
                  <c:v>0.6217613570349717</c:v>
                </c:pt>
                <c:pt idx="234">
                  <c:v>0.5811548739398166</c:v>
                </c:pt>
                <c:pt idx="235">
                  <c:v>0.5812420123155572</c:v>
                </c:pt>
                <c:pt idx="236">
                  <c:v>0.6287324270942258</c:v>
                </c:pt>
                <c:pt idx="237">
                  <c:v>0.6661728825374696</c:v>
                </c:pt>
                <c:pt idx="238">
                  <c:v>0.6909201812478216</c:v>
                </c:pt>
                <c:pt idx="239">
                  <c:v>0.6805797606599282</c:v>
                </c:pt>
                <c:pt idx="240">
                  <c:v>0.6511850819100734</c:v>
                </c:pt>
                <c:pt idx="241">
                  <c:v>0.6733472754734521</c:v>
                </c:pt>
                <c:pt idx="242">
                  <c:v>0.6951609155338679</c:v>
                </c:pt>
                <c:pt idx="243">
                  <c:v>0.7096549320320671</c:v>
                </c:pt>
                <c:pt idx="244">
                  <c:v>0.7217962123852678</c:v>
                </c:pt>
                <c:pt idx="245">
                  <c:v>0.7224933193911933</c:v>
                </c:pt>
                <c:pt idx="246">
                  <c:v>0.7566225165562914</c:v>
                </c:pt>
                <c:pt idx="247">
                  <c:v>0.7696351806668992</c:v>
                </c:pt>
                <c:pt idx="248">
                  <c:v>0.7883118392006506</c:v>
                </c:pt>
                <c:pt idx="249">
                  <c:v>0.7874695015684908</c:v>
                </c:pt>
                <c:pt idx="250">
                  <c:v>0.8126524921575462</c:v>
                </c:pt>
                <c:pt idx="251">
                  <c:v>0.8135529220402</c:v>
                </c:pt>
                <c:pt idx="252">
                  <c:v>0.8573544789125134</c:v>
                </c:pt>
                <c:pt idx="253">
                  <c:v>0.916928081793889</c:v>
                </c:pt>
                <c:pt idx="254">
                  <c:v>0.9317416056698037</c:v>
                </c:pt>
                <c:pt idx="255">
                  <c:v>0.9568374578831187</c:v>
                </c:pt>
                <c:pt idx="256">
                  <c:v>0.9389450447310329</c:v>
                </c:pt>
                <c:pt idx="257">
                  <c:v>0.9489950040664576</c:v>
                </c:pt>
                <c:pt idx="258">
                  <c:v>0.9297083769025214</c:v>
                </c:pt>
                <c:pt idx="259">
                  <c:v>0.8808818403624956</c:v>
                </c:pt>
                <c:pt idx="260">
                  <c:v>0.8981352387591497</c:v>
                </c:pt>
                <c:pt idx="261">
                  <c:v>0.9116707331242013</c:v>
                </c:pt>
                <c:pt idx="262">
                  <c:v>0.9094341814801907</c:v>
                </c:pt>
                <c:pt idx="263">
                  <c:v>0.8613918903218313</c:v>
                </c:pt>
                <c:pt idx="264">
                  <c:v>0.8495120250958523</c:v>
                </c:pt>
                <c:pt idx="265">
                  <c:v>0.7980422911583596</c:v>
                </c:pt>
                <c:pt idx="266">
                  <c:v>0.7841001510398514</c:v>
                </c:pt>
                <c:pt idx="267">
                  <c:v>0.7817764610200999</c:v>
                </c:pt>
                <c:pt idx="268">
                  <c:v>0.7581329150691298</c:v>
                </c:pt>
                <c:pt idx="269">
                  <c:v>0.7573777158127106</c:v>
                </c:pt>
                <c:pt idx="270">
                  <c:v>0.8322876728244455</c:v>
                </c:pt>
                <c:pt idx="271">
                  <c:v>0.8451551063088185</c:v>
                </c:pt>
                <c:pt idx="272">
                  <c:v>0.8764668293249681</c:v>
                </c:pt>
                <c:pt idx="273">
                  <c:v>0.8622923202044848</c:v>
                </c:pt>
                <c:pt idx="274">
                  <c:v>0.8782386429650286</c:v>
                </c:pt>
                <c:pt idx="275">
                  <c:v>0.9153886371558034</c:v>
                </c:pt>
                <c:pt idx="276">
                  <c:v>0.9149819914023469</c:v>
                </c:pt>
                <c:pt idx="277">
                  <c:v>0.9297083769025214</c:v>
                </c:pt>
                <c:pt idx="278">
                  <c:v>0.9376089229696761</c:v>
                </c:pt>
                <c:pt idx="279">
                  <c:v>0.9577088416405253</c:v>
                </c:pt>
                <c:pt idx="280">
                  <c:v>0.9590159172766356</c:v>
                </c:pt>
                <c:pt idx="281">
                  <c:v>1.0014232601370978</c:v>
                </c:pt>
                <c:pt idx="282">
                  <c:v>1.0096433135819682</c:v>
                </c:pt>
                <c:pt idx="283">
                  <c:v>0.9980248634832115</c:v>
                </c:pt>
                <c:pt idx="284">
                  <c:v>1.0359300569304055</c:v>
                </c:pt>
                <c:pt idx="285">
                  <c:v>1.0598059718833508</c:v>
                </c:pt>
                <c:pt idx="286">
                  <c:v>1.086470314859998</c:v>
                </c:pt>
                <c:pt idx="287">
                  <c:v>1.0868769606134545</c:v>
                </c:pt>
                <c:pt idx="288">
                  <c:v>1.1011676542349251</c:v>
                </c:pt>
                <c:pt idx="289">
                  <c:v>1.096113628441966</c:v>
                </c:pt>
                <c:pt idx="290">
                  <c:v>1.134570698268851</c:v>
                </c:pt>
                <c:pt idx="291">
                  <c:v>1.1691936795631463</c:v>
                </c:pt>
                <c:pt idx="292">
                  <c:v>1.2197920297432325</c:v>
                </c:pt>
                <c:pt idx="293">
                  <c:v>1.2427965609387708</c:v>
                </c:pt>
                <c:pt idx="294">
                  <c:v>1.2973451841524342</c:v>
                </c:pt>
                <c:pt idx="295">
                  <c:v>1.2356221680027886</c:v>
                </c:pt>
                <c:pt idx="296">
                  <c:v>1.1812768676658536</c:v>
                </c:pt>
                <c:pt idx="297">
                  <c:v>1.2468630184733358</c:v>
                </c:pt>
                <c:pt idx="298">
                  <c:v>1.2755896363425123</c:v>
                </c:pt>
                <c:pt idx="299">
                  <c:v>1.306291390728477</c:v>
                </c:pt>
                <c:pt idx="300">
                  <c:v>1.3011211804345302</c:v>
                </c:pt>
                <c:pt idx="301">
                  <c:v>1.2970837690252124</c:v>
                </c:pt>
                <c:pt idx="302">
                  <c:v>1.2289706053212504</c:v>
                </c:pt>
                <c:pt idx="303">
                  <c:v>1.2610665737190663</c:v>
                </c:pt>
                <c:pt idx="304">
                  <c:v>1.2501161845009876</c:v>
                </c:pt>
                <c:pt idx="305">
                  <c:v>1.2420123155571048</c:v>
                </c:pt>
                <c:pt idx="306">
                  <c:v>1.2270245149297085</c:v>
                </c:pt>
                <c:pt idx="307">
                  <c:v>1.207999302892994</c:v>
                </c:pt>
                <c:pt idx="308">
                  <c:v>1.1916753805042408</c:v>
                </c:pt>
                <c:pt idx="309">
                  <c:v>1.1074706634135008</c:v>
                </c:pt>
                <c:pt idx="310">
                  <c:v>1.1478738236319277</c:v>
                </c:pt>
                <c:pt idx="311">
                  <c:v>1.0975368885790637</c:v>
                </c:pt>
                <c:pt idx="312">
                  <c:v>1.074009527129081</c:v>
                </c:pt>
                <c:pt idx="313">
                  <c:v>1.0300336935052865</c:v>
                </c:pt>
                <c:pt idx="314">
                  <c:v>0.9383350761008484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  <c:max val="1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271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7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workbookViewId="0" topLeftCell="A2">
      <pane xSplit="10" ySplit="2" topLeftCell="K145" activePane="bottomRight" state="frozen"/>
      <selection pane="topLeft" activeCell="A2" sqref="A2"/>
      <selection pane="topRight" activeCell="K2" sqref="K2"/>
      <selection pane="bottomLeft" activeCell="A4" sqref="A4"/>
      <selection pane="bottomRight" activeCell="I162" sqref="I162"/>
    </sheetView>
  </sheetViews>
  <sheetFormatPr defaultColWidth="9.140625" defaultRowHeight="21.75"/>
  <cols>
    <col min="1" max="1" width="5.7109375" style="3" customWidth="1"/>
    <col min="2" max="2" width="8.57421875" style="17" customWidth="1"/>
    <col min="3" max="3" width="9.28125" style="3" customWidth="1"/>
    <col min="4" max="4" width="3.57421875" style="4" customWidth="1"/>
    <col min="5" max="5" width="9.8515625" style="20" customWidth="1"/>
    <col min="6" max="7" width="8.00390625" style="5" customWidth="1"/>
    <col min="8" max="8" width="7.28125" style="5" customWidth="1"/>
    <col min="9" max="9" width="12.57421875" style="19" customWidth="1"/>
    <col min="10" max="10" width="12.28125" style="2" customWidth="1"/>
    <col min="11" max="16384" width="14.7109375" style="2" customWidth="1"/>
  </cols>
  <sheetData>
    <row r="1" spans="3:10" ht="11.25" hidden="1">
      <c r="C1" s="2" t="s">
        <v>208</v>
      </c>
      <c r="D1" s="2" t="s">
        <v>231</v>
      </c>
      <c r="E1" s="2">
        <v>300</v>
      </c>
      <c r="F1" s="2">
        <v>28.75</v>
      </c>
      <c r="G1" s="2">
        <v>17.25</v>
      </c>
      <c r="H1" s="2">
        <v>1.2075</v>
      </c>
      <c r="I1" s="2">
        <v>-8643.4575</v>
      </c>
      <c r="J1" s="101">
        <v>140897.81184117257</v>
      </c>
    </row>
    <row r="2" spans="1:10" ht="12" thickBot="1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 thickBot="1">
      <c r="A3" s="14" t="s">
        <v>228</v>
      </c>
      <c r="B3" s="95" t="s">
        <v>0</v>
      </c>
      <c r="C3" s="15" t="s">
        <v>2</v>
      </c>
      <c r="D3" s="15" t="s">
        <v>3</v>
      </c>
      <c r="E3" s="96" t="s">
        <v>4</v>
      </c>
      <c r="F3" s="16" t="s">
        <v>5</v>
      </c>
      <c r="G3" s="16" t="s">
        <v>6</v>
      </c>
      <c r="H3" s="16" t="s">
        <v>7</v>
      </c>
      <c r="I3" s="88" t="s">
        <v>8</v>
      </c>
      <c r="J3" s="89" t="s">
        <v>269</v>
      </c>
    </row>
    <row r="4" spans="1:16" s="1" customFormat="1" ht="11.25">
      <c r="A4" s="3" t="s">
        <v>233</v>
      </c>
      <c r="B4" s="17">
        <v>37972</v>
      </c>
      <c r="C4" s="3" t="s">
        <v>200</v>
      </c>
      <c r="D4" s="4" t="s">
        <v>231</v>
      </c>
      <c r="E4" s="20">
        <v>10000</v>
      </c>
      <c r="F4" s="5">
        <v>4.72</v>
      </c>
      <c r="G4" s="5">
        <f>(($E4*$F4)*0.0025)</f>
        <v>118</v>
      </c>
      <c r="H4" s="5">
        <f aca="true" t="shared" si="0" ref="H4:H43">$G4*0.07</f>
        <v>8.260000000000002</v>
      </c>
      <c r="I4" s="19">
        <f aca="true" t="shared" si="1" ref="I4:I43">IF($D4="B",(($E4*$F4)+$G4+$H4)*(-1),IF($D4="S",($E4*$F4)-$G4-$H4))</f>
        <v>-47326.26</v>
      </c>
      <c r="J4" s="2"/>
      <c r="K4" s="2"/>
      <c r="L4" s="2"/>
      <c r="M4" s="2"/>
      <c r="N4" s="2"/>
      <c r="O4" s="2"/>
      <c r="P4" s="2"/>
    </row>
    <row r="5" spans="1:10" s="1" customFormat="1" ht="11.25">
      <c r="A5" s="3"/>
      <c r="B5" s="17"/>
      <c r="C5" s="3" t="s">
        <v>318</v>
      </c>
      <c r="D5" s="4" t="s">
        <v>231</v>
      </c>
      <c r="E5" s="20">
        <v>200</v>
      </c>
      <c r="F5" s="5">
        <v>102</v>
      </c>
      <c r="G5" s="5">
        <f>(($E5*$F5)*0.0025)</f>
        <v>51</v>
      </c>
      <c r="H5" s="5">
        <f t="shared" si="0"/>
        <v>3.5700000000000003</v>
      </c>
      <c r="I5" s="19">
        <f t="shared" si="1"/>
        <v>-20454.57</v>
      </c>
      <c r="J5" s="2"/>
    </row>
    <row r="6" spans="1:9" ht="12" thickBot="1">
      <c r="A6" s="6"/>
      <c r="B6" s="21"/>
      <c r="C6" s="6"/>
      <c r="D6" s="7"/>
      <c r="E6" s="22"/>
      <c r="F6" s="8"/>
      <c r="G6" s="8"/>
      <c r="H6" s="11" t="s">
        <v>13</v>
      </c>
      <c r="I6" s="11">
        <f>-67780.85</f>
        <v>-67780.85</v>
      </c>
    </row>
    <row r="7" spans="1:9" ht="11.25">
      <c r="A7" s="3" t="s">
        <v>237</v>
      </c>
      <c r="B7" s="17">
        <v>37974</v>
      </c>
      <c r="C7" s="3" t="s">
        <v>200</v>
      </c>
      <c r="D7" s="4" t="s">
        <v>231</v>
      </c>
      <c r="E7" s="20">
        <v>7000</v>
      </c>
      <c r="F7" s="5">
        <v>4.6</v>
      </c>
      <c r="G7" s="5">
        <v>100</v>
      </c>
      <c r="H7" s="5">
        <f t="shared" si="0"/>
        <v>7.000000000000001</v>
      </c>
      <c r="I7" s="19">
        <f t="shared" si="1"/>
        <v>-32306.999999999996</v>
      </c>
    </row>
    <row r="8" spans="1:9" ht="12" thickBot="1">
      <c r="A8" s="6"/>
      <c r="B8" s="21"/>
      <c r="C8" s="6"/>
      <c r="D8" s="7"/>
      <c r="E8" s="22"/>
      <c r="F8" s="8"/>
      <c r="G8" s="8"/>
      <c r="H8" s="11" t="s">
        <v>13</v>
      </c>
      <c r="I8" s="11">
        <f>I7</f>
        <v>-32306.999999999996</v>
      </c>
    </row>
    <row r="9" spans="1:9" ht="11.25">
      <c r="A9" s="3" t="s">
        <v>229</v>
      </c>
      <c r="B9" s="17">
        <v>37975</v>
      </c>
      <c r="C9" s="90" t="s">
        <v>238</v>
      </c>
      <c r="D9" s="91" t="s">
        <v>231</v>
      </c>
      <c r="E9" s="92">
        <v>1000</v>
      </c>
      <c r="F9" s="93">
        <v>38.5</v>
      </c>
      <c r="G9" s="93">
        <f>(($E9*$F9)*0.0025)</f>
        <v>96.25</v>
      </c>
      <c r="H9" s="93">
        <f t="shared" si="0"/>
        <v>6.737500000000001</v>
      </c>
      <c r="I9" s="18">
        <f t="shared" si="1"/>
        <v>-38602.9875</v>
      </c>
    </row>
    <row r="10" spans="3:9" ht="11.25">
      <c r="C10" s="3" t="s">
        <v>200</v>
      </c>
      <c r="D10" s="4" t="s">
        <v>230</v>
      </c>
      <c r="E10" s="20">
        <v>15000</v>
      </c>
      <c r="F10" s="5">
        <v>4.3733326</v>
      </c>
      <c r="G10" s="5">
        <f>(($E10*$F10)*0.0025)</f>
        <v>163.9999725</v>
      </c>
      <c r="H10" s="5">
        <f t="shared" si="0"/>
        <v>11.479998075000003</v>
      </c>
      <c r="I10" s="19">
        <f t="shared" si="1"/>
        <v>65424.509029425</v>
      </c>
    </row>
    <row r="11" spans="1:9" ht="12" thickBot="1">
      <c r="A11" s="6"/>
      <c r="B11" s="21"/>
      <c r="C11" s="6"/>
      <c r="D11" s="7"/>
      <c r="E11" s="22"/>
      <c r="F11" s="8"/>
      <c r="G11" s="8"/>
      <c r="H11" s="12" t="s">
        <v>26</v>
      </c>
      <c r="I11" s="12">
        <f>SUM(I9:I10)</f>
        <v>26821.521529424994</v>
      </c>
    </row>
    <row r="12" spans="1:9" ht="11.25">
      <c r="A12" s="3" t="s">
        <v>258</v>
      </c>
      <c r="B12" s="17">
        <v>37978</v>
      </c>
      <c r="C12" s="90" t="s">
        <v>320</v>
      </c>
      <c r="D12" s="91" t="s">
        <v>231</v>
      </c>
      <c r="E12" s="92">
        <v>5000</v>
      </c>
      <c r="F12" s="93">
        <v>5.45</v>
      </c>
      <c r="G12" s="93">
        <f aca="true" t="shared" si="2" ref="G12:G76">(($E12*$F12)*0.0025)</f>
        <v>68.125</v>
      </c>
      <c r="H12" s="93">
        <f t="shared" si="0"/>
        <v>4.768750000000001</v>
      </c>
      <c r="I12" s="18">
        <f t="shared" si="1"/>
        <v>-27322.89375</v>
      </c>
    </row>
    <row r="13" spans="3:9" ht="11.25">
      <c r="C13" s="90" t="s">
        <v>238</v>
      </c>
      <c r="D13" s="91" t="s">
        <v>230</v>
      </c>
      <c r="E13" s="92">
        <v>500</v>
      </c>
      <c r="F13" s="93">
        <v>37.75</v>
      </c>
      <c r="G13" s="93">
        <f t="shared" si="2"/>
        <v>47.1875</v>
      </c>
      <c r="H13" s="93">
        <f t="shared" si="0"/>
        <v>3.3031250000000005</v>
      </c>
      <c r="I13" s="18">
        <f t="shared" si="1"/>
        <v>18824.509375</v>
      </c>
    </row>
    <row r="14" spans="1:9" ht="12" thickBot="1">
      <c r="A14" s="6"/>
      <c r="B14" s="21"/>
      <c r="C14" s="6"/>
      <c r="D14" s="7"/>
      <c r="E14" s="22"/>
      <c r="F14" s="8"/>
      <c r="G14" s="8"/>
      <c r="H14" s="11" t="s">
        <v>13</v>
      </c>
      <c r="I14" s="11">
        <f>SUM(I12:I13)</f>
        <v>-8498.384374999998</v>
      </c>
    </row>
    <row r="15" spans="1:9" ht="11.25">
      <c r="A15" s="3" t="s">
        <v>233</v>
      </c>
      <c r="B15" s="17">
        <v>37979</v>
      </c>
      <c r="C15" s="90" t="s">
        <v>321</v>
      </c>
      <c r="D15" s="91" t="s">
        <v>231</v>
      </c>
      <c r="E15" s="92">
        <v>200</v>
      </c>
      <c r="F15" s="93">
        <v>104</v>
      </c>
      <c r="G15" s="93">
        <f t="shared" si="2"/>
        <v>52</v>
      </c>
      <c r="H15" s="93">
        <f t="shared" si="0"/>
        <v>3.6400000000000006</v>
      </c>
      <c r="I15" s="18">
        <f t="shared" si="1"/>
        <v>-20855.64</v>
      </c>
    </row>
    <row r="16" spans="3:9" ht="11.25">
      <c r="C16" s="90" t="s">
        <v>321</v>
      </c>
      <c r="D16" s="91" t="s">
        <v>231</v>
      </c>
      <c r="E16" s="92">
        <v>200</v>
      </c>
      <c r="F16" s="93">
        <v>105</v>
      </c>
      <c r="G16" s="93">
        <f t="shared" si="2"/>
        <v>52.5</v>
      </c>
      <c r="H16" s="93">
        <f t="shared" si="0"/>
        <v>3.6750000000000003</v>
      </c>
      <c r="I16" s="18">
        <f t="shared" si="1"/>
        <v>-21056.175</v>
      </c>
    </row>
    <row r="17" spans="3:10" ht="11.25">
      <c r="C17" s="90" t="s">
        <v>321</v>
      </c>
      <c r="D17" s="91" t="s">
        <v>230</v>
      </c>
      <c r="E17" s="92">
        <v>400</v>
      </c>
      <c r="F17" s="93">
        <v>107</v>
      </c>
      <c r="G17" s="93">
        <f t="shared" si="2"/>
        <v>107</v>
      </c>
      <c r="H17" s="93">
        <f t="shared" si="0"/>
        <v>7.490000000000001</v>
      </c>
      <c r="I17" s="18">
        <f t="shared" si="1"/>
        <v>42685.51</v>
      </c>
      <c r="J17" s="10">
        <f>SUM(I15:I17)</f>
        <v>773.6949999999997</v>
      </c>
    </row>
    <row r="18" spans="3:9" ht="11.25">
      <c r="C18" s="3" t="s">
        <v>318</v>
      </c>
      <c r="D18" s="4" t="s">
        <v>230</v>
      </c>
      <c r="E18" s="20">
        <v>100</v>
      </c>
      <c r="F18" s="5">
        <v>107</v>
      </c>
      <c r="G18" s="5">
        <f t="shared" si="2"/>
        <v>26.75</v>
      </c>
      <c r="H18" s="5">
        <f t="shared" si="0"/>
        <v>1.8725000000000003</v>
      </c>
      <c r="I18" s="19">
        <f t="shared" si="1"/>
        <v>10671.3775</v>
      </c>
    </row>
    <row r="19" spans="3:10" ht="11.25">
      <c r="C19" s="3" t="s">
        <v>318</v>
      </c>
      <c r="D19" s="4" t="s">
        <v>231</v>
      </c>
      <c r="E19" s="20">
        <v>100</v>
      </c>
      <c r="F19" s="5">
        <v>103</v>
      </c>
      <c r="G19" s="5">
        <f t="shared" si="2"/>
        <v>25.75</v>
      </c>
      <c r="H19" s="5">
        <f t="shared" si="0"/>
        <v>1.8025000000000002</v>
      </c>
      <c r="I19" s="19">
        <f t="shared" si="1"/>
        <v>-10327.5525</v>
      </c>
      <c r="J19" s="9"/>
    </row>
    <row r="20" spans="3:10" ht="11.25">
      <c r="C20" s="90" t="s">
        <v>320</v>
      </c>
      <c r="D20" s="91" t="s">
        <v>230</v>
      </c>
      <c r="E20" s="92">
        <v>5000</v>
      </c>
      <c r="F20" s="93">
        <v>5.55</v>
      </c>
      <c r="G20" s="93">
        <f t="shared" si="2"/>
        <v>69.375</v>
      </c>
      <c r="H20" s="93">
        <f t="shared" si="0"/>
        <v>4.85625</v>
      </c>
      <c r="I20" s="18">
        <f t="shared" si="1"/>
        <v>27675.76875</v>
      </c>
      <c r="J20" s="10">
        <f>SUM(I20,I12)</f>
        <v>352.875</v>
      </c>
    </row>
    <row r="21" spans="3:9" ht="11.25">
      <c r="C21" s="90" t="s">
        <v>315</v>
      </c>
      <c r="D21" s="91" t="s">
        <v>231</v>
      </c>
      <c r="E21" s="92">
        <v>2000</v>
      </c>
      <c r="F21" s="93">
        <v>6.9</v>
      </c>
      <c r="G21" s="93">
        <f t="shared" si="2"/>
        <v>34.5</v>
      </c>
      <c r="H21" s="93">
        <f t="shared" si="0"/>
        <v>2.415</v>
      </c>
      <c r="I21" s="18">
        <f t="shared" si="1"/>
        <v>-13836.915</v>
      </c>
    </row>
    <row r="22" spans="1:9" ht="12" thickBot="1">
      <c r="A22" s="6"/>
      <c r="B22" s="21"/>
      <c r="C22" s="6"/>
      <c r="D22" s="7"/>
      <c r="E22" s="22"/>
      <c r="F22" s="8"/>
      <c r="G22" s="8"/>
      <c r="H22" s="12" t="s">
        <v>26</v>
      </c>
      <c r="I22" s="12">
        <f>14956.36</f>
        <v>14956.36</v>
      </c>
    </row>
    <row r="23" spans="1:9" ht="11.25">
      <c r="A23" s="3" t="s">
        <v>235</v>
      </c>
      <c r="B23" s="17">
        <v>37980</v>
      </c>
      <c r="C23" s="90" t="s">
        <v>315</v>
      </c>
      <c r="D23" s="91" t="s">
        <v>231</v>
      </c>
      <c r="E23" s="92">
        <v>5000</v>
      </c>
      <c r="F23" s="93">
        <v>6.6</v>
      </c>
      <c r="G23" s="93">
        <f t="shared" si="2"/>
        <v>82.5</v>
      </c>
      <c r="H23" s="93">
        <f t="shared" si="0"/>
        <v>5.775</v>
      </c>
      <c r="I23" s="18">
        <f t="shared" si="1"/>
        <v>-33088.275</v>
      </c>
    </row>
    <row r="24" spans="3:9" ht="11.25">
      <c r="C24" s="3" t="s">
        <v>318</v>
      </c>
      <c r="D24" s="4" t="s">
        <v>231</v>
      </c>
      <c r="E24" s="20">
        <v>100</v>
      </c>
      <c r="F24" s="5">
        <v>104</v>
      </c>
      <c r="G24" s="5">
        <f t="shared" si="2"/>
        <v>26</v>
      </c>
      <c r="H24" s="5">
        <f t="shared" si="0"/>
        <v>1.8200000000000003</v>
      </c>
      <c r="I24" s="19">
        <f t="shared" si="1"/>
        <v>-10427.82</v>
      </c>
    </row>
    <row r="25" spans="1:9" ht="12" thickBot="1">
      <c r="A25" s="6"/>
      <c r="B25" s="21"/>
      <c r="C25" s="6"/>
      <c r="D25" s="7"/>
      <c r="E25" s="22"/>
      <c r="F25" s="8"/>
      <c r="G25" s="8"/>
      <c r="H25" s="11" t="s">
        <v>13</v>
      </c>
      <c r="I25" s="11">
        <f>SUM(I23:I24)</f>
        <v>-43516.095</v>
      </c>
    </row>
    <row r="26" spans="1:9" ht="11.25">
      <c r="A26" s="3" t="s">
        <v>237</v>
      </c>
      <c r="B26" s="17">
        <v>37981</v>
      </c>
      <c r="C26" s="90" t="s">
        <v>322</v>
      </c>
      <c r="D26" s="91" t="s">
        <v>231</v>
      </c>
      <c r="E26" s="92">
        <v>7000</v>
      </c>
      <c r="F26" s="93">
        <v>3.985714</v>
      </c>
      <c r="G26" s="93">
        <f t="shared" si="2"/>
        <v>69.749995</v>
      </c>
      <c r="H26" s="93">
        <f t="shared" si="0"/>
        <v>4.882499650000001</v>
      </c>
      <c r="I26" s="18">
        <f t="shared" si="1"/>
        <v>-27974.63049465</v>
      </c>
    </row>
    <row r="27" spans="3:9" ht="11.25">
      <c r="C27" s="90" t="s">
        <v>323</v>
      </c>
      <c r="D27" s="91" t="s">
        <v>231</v>
      </c>
      <c r="E27" s="92">
        <v>8000</v>
      </c>
      <c r="F27" s="93">
        <v>14.875</v>
      </c>
      <c r="G27" s="93">
        <f t="shared" si="2"/>
        <v>297.5</v>
      </c>
      <c r="H27" s="93">
        <f t="shared" si="0"/>
        <v>20.825000000000003</v>
      </c>
      <c r="I27" s="18">
        <f t="shared" si="1"/>
        <v>-119318.325</v>
      </c>
    </row>
    <row r="28" spans="3:10" ht="11.25">
      <c r="C28" s="90" t="s">
        <v>323</v>
      </c>
      <c r="D28" s="91" t="s">
        <v>230</v>
      </c>
      <c r="E28" s="92">
        <v>8000</v>
      </c>
      <c r="F28" s="93">
        <v>14.774999</v>
      </c>
      <c r="G28" s="93">
        <f t="shared" si="2"/>
        <v>295.49998</v>
      </c>
      <c r="H28" s="93">
        <f t="shared" si="0"/>
        <v>20.6849986</v>
      </c>
      <c r="I28" s="18">
        <f t="shared" si="1"/>
        <v>117883.8070214</v>
      </c>
      <c r="J28" s="13">
        <f>SUM(I27:I28)</f>
        <v>-1434.5179785999935</v>
      </c>
    </row>
    <row r="29" spans="1:9" ht="12" thickBot="1">
      <c r="A29" s="6"/>
      <c r="B29" s="21"/>
      <c r="C29" s="6"/>
      <c r="D29" s="7"/>
      <c r="E29" s="22"/>
      <c r="F29" s="8"/>
      <c r="G29" s="8"/>
      <c r="H29" s="11" t="s">
        <v>13</v>
      </c>
      <c r="I29" s="11">
        <f>SUM(I26:I28)</f>
        <v>-29409.148473249996</v>
      </c>
    </row>
    <row r="30" spans="1:9" ht="11.25">
      <c r="A30" s="3" t="s">
        <v>258</v>
      </c>
      <c r="B30" s="17">
        <v>37985</v>
      </c>
      <c r="C30" s="90" t="s">
        <v>315</v>
      </c>
      <c r="D30" s="91" t="s">
        <v>231</v>
      </c>
      <c r="E30" s="92">
        <v>1000</v>
      </c>
      <c r="F30" s="93">
        <v>6.85</v>
      </c>
      <c r="G30" s="93">
        <f t="shared" si="2"/>
        <v>17.125</v>
      </c>
      <c r="H30" s="93">
        <f t="shared" si="0"/>
        <v>1.1987500000000002</v>
      </c>
      <c r="I30" s="18">
        <f t="shared" si="1"/>
        <v>-6868.32375</v>
      </c>
    </row>
    <row r="31" spans="3:9" ht="11.25">
      <c r="C31" s="90" t="s">
        <v>23</v>
      </c>
      <c r="D31" s="91" t="s">
        <v>231</v>
      </c>
      <c r="E31" s="92">
        <v>3000</v>
      </c>
      <c r="F31" s="93">
        <v>13.7</v>
      </c>
      <c r="G31" s="93">
        <f t="shared" si="2"/>
        <v>102.75</v>
      </c>
      <c r="H31" s="93">
        <f t="shared" si="0"/>
        <v>7.192500000000001</v>
      </c>
      <c r="I31" s="18">
        <f t="shared" si="1"/>
        <v>-41209.9425</v>
      </c>
    </row>
    <row r="32" spans="3:9" ht="11.25">
      <c r="C32" s="90" t="s">
        <v>322</v>
      </c>
      <c r="D32" s="91" t="s">
        <v>231</v>
      </c>
      <c r="E32" s="92">
        <v>4000</v>
      </c>
      <c r="F32" s="93">
        <v>3.82</v>
      </c>
      <c r="G32" s="93">
        <f t="shared" si="2"/>
        <v>38.2</v>
      </c>
      <c r="H32" s="93">
        <f t="shared" si="0"/>
        <v>2.6740000000000004</v>
      </c>
      <c r="I32" s="18">
        <f t="shared" si="1"/>
        <v>-15320.874000000002</v>
      </c>
    </row>
    <row r="33" spans="3:9" ht="11.25">
      <c r="C33" s="90" t="s">
        <v>322</v>
      </c>
      <c r="D33" s="91" t="s">
        <v>230</v>
      </c>
      <c r="E33" s="92">
        <v>4000</v>
      </c>
      <c r="F33" s="93">
        <v>3.86</v>
      </c>
      <c r="G33" s="93">
        <f t="shared" si="2"/>
        <v>38.6</v>
      </c>
      <c r="H33" s="93">
        <f t="shared" si="0"/>
        <v>2.7020000000000004</v>
      </c>
      <c r="I33" s="18">
        <f t="shared" si="1"/>
        <v>15398.698</v>
      </c>
    </row>
    <row r="34" spans="3:10" ht="11.25">
      <c r="C34" s="90" t="s">
        <v>238</v>
      </c>
      <c r="D34" s="91" t="s">
        <v>230</v>
      </c>
      <c r="E34" s="92">
        <v>500</v>
      </c>
      <c r="F34" s="93">
        <v>33</v>
      </c>
      <c r="G34" s="93">
        <f t="shared" si="2"/>
        <v>41.25</v>
      </c>
      <c r="H34" s="93">
        <f t="shared" si="0"/>
        <v>2.8875</v>
      </c>
      <c r="I34" s="18">
        <f t="shared" si="1"/>
        <v>16455.8625</v>
      </c>
      <c r="J34" s="13">
        <f>SUM(I34,I13,I9,)</f>
        <v>-3322.615625000006</v>
      </c>
    </row>
    <row r="35" spans="1:9" ht="12" thickBot="1">
      <c r="A35" s="6"/>
      <c r="B35" s="21"/>
      <c r="C35" s="6"/>
      <c r="D35" s="7"/>
      <c r="E35" s="22"/>
      <c r="F35" s="8"/>
      <c r="G35" s="8"/>
      <c r="H35" s="11" t="s">
        <v>13</v>
      </c>
      <c r="I35" s="11">
        <f>SUM(I30:I34)</f>
        <v>-31544.579750000008</v>
      </c>
    </row>
    <row r="36" spans="1:9" ht="11.25">
      <c r="A36" s="3" t="s">
        <v>233</v>
      </c>
      <c r="B36" s="17">
        <v>37986</v>
      </c>
      <c r="C36" s="90" t="s">
        <v>320</v>
      </c>
      <c r="D36" s="91" t="s">
        <v>231</v>
      </c>
      <c r="E36" s="92">
        <v>9000</v>
      </c>
      <c r="F36" s="93">
        <v>5.75</v>
      </c>
      <c r="G36" s="93">
        <f t="shared" si="2"/>
        <v>129.375</v>
      </c>
      <c r="H36" s="93">
        <f t="shared" si="0"/>
        <v>9.05625</v>
      </c>
      <c r="I36" s="18">
        <f t="shared" si="1"/>
        <v>-51888.43125</v>
      </c>
    </row>
    <row r="37" spans="3:10" ht="11.25">
      <c r="C37" s="90" t="s">
        <v>23</v>
      </c>
      <c r="D37" s="91" t="s">
        <v>230</v>
      </c>
      <c r="E37" s="92">
        <v>3000</v>
      </c>
      <c r="F37" s="93">
        <v>13.9</v>
      </c>
      <c r="G37" s="93">
        <f t="shared" si="2"/>
        <v>104.25</v>
      </c>
      <c r="H37" s="93">
        <f t="shared" si="0"/>
        <v>7.2975</v>
      </c>
      <c r="I37" s="18">
        <f t="shared" si="1"/>
        <v>41588.4525</v>
      </c>
      <c r="J37" s="10">
        <f>SUM(I37,I31)</f>
        <v>378.51000000000204</v>
      </c>
    </row>
    <row r="38" spans="3:9" ht="11.25">
      <c r="C38" s="90" t="s">
        <v>23</v>
      </c>
      <c r="D38" s="91" t="s">
        <v>231</v>
      </c>
      <c r="E38" s="92">
        <v>1500</v>
      </c>
      <c r="F38" s="93">
        <v>14.1</v>
      </c>
      <c r="G38" s="93">
        <f t="shared" si="2"/>
        <v>52.875</v>
      </c>
      <c r="H38" s="93">
        <f t="shared" si="0"/>
        <v>3.7012500000000004</v>
      </c>
      <c r="I38" s="18">
        <f t="shared" si="1"/>
        <v>-21206.57625</v>
      </c>
    </row>
    <row r="39" spans="3:9" ht="11.25">
      <c r="C39" s="90" t="s">
        <v>23</v>
      </c>
      <c r="D39" s="91" t="s">
        <v>231</v>
      </c>
      <c r="E39" s="92">
        <v>2500</v>
      </c>
      <c r="F39" s="93">
        <v>14.2</v>
      </c>
      <c r="G39" s="93">
        <f t="shared" si="2"/>
        <v>88.75</v>
      </c>
      <c r="H39" s="93">
        <f t="shared" si="0"/>
        <v>6.2125</v>
      </c>
      <c r="I39" s="18">
        <f t="shared" si="1"/>
        <v>-35594.9625</v>
      </c>
    </row>
    <row r="40" spans="3:9" ht="11.25">
      <c r="C40" s="90" t="s">
        <v>23</v>
      </c>
      <c r="D40" s="91" t="s">
        <v>231</v>
      </c>
      <c r="E40" s="92">
        <v>1000</v>
      </c>
      <c r="F40" s="93">
        <v>14.3</v>
      </c>
      <c r="G40" s="93">
        <f t="shared" si="2"/>
        <v>35.75</v>
      </c>
      <c r="H40" s="93">
        <f t="shared" si="0"/>
        <v>2.5025000000000004</v>
      </c>
      <c r="I40" s="18">
        <f t="shared" si="1"/>
        <v>-14338.2525</v>
      </c>
    </row>
    <row r="41" spans="3:10" ht="11.25">
      <c r="C41" s="90" t="s">
        <v>259</v>
      </c>
      <c r="D41" s="91" t="s">
        <v>230</v>
      </c>
      <c r="E41" s="92">
        <v>1100</v>
      </c>
      <c r="F41" s="93">
        <v>42.25</v>
      </c>
      <c r="G41" s="93">
        <f t="shared" si="2"/>
        <v>116.1875</v>
      </c>
      <c r="H41" s="93">
        <f t="shared" si="0"/>
        <v>8.133125000000001</v>
      </c>
      <c r="I41" s="18">
        <f t="shared" si="1"/>
        <v>46350.679375</v>
      </c>
      <c r="J41" s="13">
        <v>-3551.0381249999937</v>
      </c>
    </row>
    <row r="42" spans="1:9" ht="12" thickBot="1">
      <c r="A42" s="6"/>
      <c r="B42" s="21"/>
      <c r="C42" s="6"/>
      <c r="D42" s="7"/>
      <c r="E42" s="22"/>
      <c r="F42" s="8"/>
      <c r="G42" s="8"/>
      <c r="H42" s="11" t="s">
        <v>13</v>
      </c>
      <c r="I42" s="11">
        <f>-35089.1</f>
        <v>-35089.1</v>
      </c>
    </row>
    <row r="43" spans="1:9" ht="11.25">
      <c r="A43" s="3" t="s">
        <v>229</v>
      </c>
      <c r="B43" s="17">
        <f>B36+5</f>
        <v>37991</v>
      </c>
      <c r="C43" s="90" t="s">
        <v>23</v>
      </c>
      <c r="D43" s="91" t="s">
        <v>231</v>
      </c>
      <c r="E43" s="92">
        <v>1000</v>
      </c>
      <c r="F43" s="93">
        <v>14.5</v>
      </c>
      <c r="G43" s="93">
        <f t="shared" si="2"/>
        <v>36.25</v>
      </c>
      <c r="H43" s="93">
        <f t="shared" si="0"/>
        <v>2.5375</v>
      </c>
      <c r="I43" s="18">
        <f t="shared" si="1"/>
        <v>-14538.7875</v>
      </c>
    </row>
    <row r="44" spans="3:9" ht="11.25">
      <c r="C44" s="90" t="s">
        <v>320</v>
      </c>
      <c r="D44" s="91" t="s">
        <v>231</v>
      </c>
      <c r="E44" s="92">
        <v>2000</v>
      </c>
      <c r="F44" s="93">
        <v>5.7</v>
      </c>
      <c r="G44" s="93">
        <f t="shared" si="2"/>
        <v>28.5</v>
      </c>
      <c r="H44" s="93">
        <f>$G44*0.07</f>
        <v>1.995</v>
      </c>
      <c r="I44" s="18">
        <f>IF($D44="B",(($E44*$F44)+$G44+$H44)*(-1),IF($D44="S",($E44*$F44)-$G44-$H44))</f>
        <v>-11430.495</v>
      </c>
    </row>
    <row r="45" spans="3:9" ht="11.25">
      <c r="C45" s="90" t="s">
        <v>315</v>
      </c>
      <c r="D45" s="91" t="s">
        <v>231</v>
      </c>
      <c r="E45" s="92">
        <v>1000</v>
      </c>
      <c r="F45" s="93">
        <v>7.2</v>
      </c>
      <c r="G45" s="93">
        <f t="shared" si="2"/>
        <v>18</v>
      </c>
      <c r="H45" s="93">
        <f>$G45*0.07</f>
        <v>1.2600000000000002</v>
      </c>
      <c r="I45" s="18">
        <f>IF($D45="B",(($E45*$F45)+$G45+$H45)*(-1),IF($D45="S",($E45*$F45)-$G45-$H45))</f>
        <v>-7219.26</v>
      </c>
    </row>
    <row r="46" spans="3:9" ht="11.25">
      <c r="C46" s="90" t="s">
        <v>322</v>
      </c>
      <c r="D46" s="91" t="s">
        <v>231</v>
      </c>
      <c r="E46" s="92">
        <v>1000</v>
      </c>
      <c r="F46" s="93">
        <v>4.12</v>
      </c>
      <c r="G46" s="93">
        <f t="shared" si="2"/>
        <v>10.3</v>
      </c>
      <c r="H46" s="93">
        <f>$G46*0.07</f>
        <v>0.7210000000000001</v>
      </c>
      <c r="I46" s="18">
        <f>IF($D46="B",(($E46*$F46)+$G46+$H46)*(-1),IF($D46="S",($E46*$F46)-$G46-$H46))</f>
        <v>-4131.021</v>
      </c>
    </row>
    <row r="47" spans="3:10" ht="11.25">
      <c r="C47" s="90" t="s">
        <v>322</v>
      </c>
      <c r="D47" s="91" t="s">
        <v>230</v>
      </c>
      <c r="E47" s="92">
        <v>8000</v>
      </c>
      <c r="F47" s="93">
        <v>4.12</v>
      </c>
      <c r="G47" s="93">
        <f t="shared" si="2"/>
        <v>82.4</v>
      </c>
      <c r="H47" s="93">
        <f>$G47*0.07</f>
        <v>5.768000000000001</v>
      </c>
      <c r="I47" s="18">
        <f>IF($D47="B",(($E47*$F47)+$G47+$H47)*(-1),IF($D47="S",($E47*$F47)-$G47-$H47))</f>
        <v>32871.832</v>
      </c>
      <c r="J47" s="10">
        <f>SUM(I46:I47,I32:I33,I26,)</f>
        <v>844.0045053500035</v>
      </c>
    </row>
    <row r="48" spans="1:9" ht="12" thickBot="1">
      <c r="A48" s="6"/>
      <c r="B48" s="21"/>
      <c r="C48" s="6"/>
      <c r="D48" s="7"/>
      <c r="E48" s="22"/>
      <c r="F48" s="8"/>
      <c r="G48" s="8"/>
      <c r="H48" s="11" t="s">
        <v>13</v>
      </c>
      <c r="I48" s="11">
        <f>SUM(I43:I47)</f>
        <v>-4447.731500000002</v>
      </c>
    </row>
    <row r="49" spans="1:9" ht="11.25">
      <c r="A49" s="3" t="s">
        <v>258</v>
      </c>
      <c r="B49" s="17">
        <f>B43+1</f>
        <v>37992</v>
      </c>
      <c r="C49" s="90" t="s">
        <v>315</v>
      </c>
      <c r="D49" s="91" t="s">
        <v>230</v>
      </c>
      <c r="E49" s="92">
        <v>4000</v>
      </c>
      <c r="F49" s="93">
        <v>7.3</v>
      </c>
      <c r="G49" s="93">
        <f t="shared" si="2"/>
        <v>73</v>
      </c>
      <c r="H49" s="93">
        <f aca="true" t="shared" si="3" ref="H49:H114">$G49*0.07</f>
        <v>5.11</v>
      </c>
      <c r="I49" s="18">
        <f aca="true" t="shared" si="4" ref="I49:I114">IF($D49="B",(($E49*$F49)+$G49+$H49)*(-1),IF($D49="S",($E49*$F49)-$G49-$H49))</f>
        <v>29121.89</v>
      </c>
    </row>
    <row r="50" spans="3:10" ht="11.25">
      <c r="C50" s="90" t="s">
        <v>315</v>
      </c>
      <c r="D50" s="91" t="s">
        <v>230</v>
      </c>
      <c r="E50" s="92">
        <v>5000</v>
      </c>
      <c r="F50" s="93">
        <v>7.45</v>
      </c>
      <c r="G50" s="93">
        <f t="shared" si="2"/>
        <v>93.125</v>
      </c>
      <c r="H50" s="93">
        <f t="shared" si="3"/>
        <v>6.518750000000001</v>
      </c>
      <c r="I50" s="18">
        <f t="shared" si="4"/>
        <v>37150.35625</v>
      </c>
      <c r="J50" s="10">
        <f>SUM(I49:I50,I45,I30,I23,I21,)</f>
        <v>5259.472499999989</v>
      </c>
    </row>
    <row r="51" spans="3:10" ht="11.25">
      <c r="C51" s="90" t="s">
        <v>315</v>
      </c>
      <c r="D51" s="91" t="s">
        <v>231</v>
      </c>
      <c r="E51" s="92">
        <v>3000</v>
      </c>
      <c r="F51" s="93">
        <v>7.15</v>
      </c>
      <c r="G51" s="93">
        <f t="shared" si="2"/>
        <v>53.625</v>
      </c>
      <c r="H51" s="93">
        <f t="shared" si="3"/>
        <v>3.75375</v>
      </c>
      <c r="I51" s="18">
        <f t="shared" si="4"/>
        <v>-21507.37875</v>
      </c>
      <c r="J51" s="10"/>
    </row>
    <row r="52" spans="3:10" ht="11.25">
      <c r="C52" s="90" t="s">
        <v>315</v>
      </c>
      <c r="D52" s="91" t="s">
        <v>231</v>
      </c>
      <c r="E52" s="92">
        <v>4000</v>
      </c>
      <c r="F52" s="93">
        <v>7.25</v>
      </c>
      <c r="G52" s="93">
        <f t="shared" si="2"/>
        <v>72.5</v>
      </c>
      <c r="H52" s="93">
        <f t="shared" si="3"/>
        <v>5.075</v>
      </c>
      <c r="I52" s="18">
        <f t="shared" si="4"/>
        <v>-29077.575</v>
      </c>
      <c r="J52" s="10"/>
    </row>
    <row r="53" spans="3:9" ht="11.25">
      <c r="C53" s="90" t="s">
        <v>320</v>
      </c>
      <c r="D53" s="91" t="s">
        <v>230</v>
      </c>
      <c r="E53" s="92">
        <v>6000</v>
      </c>
      <c r="F53" s="93">
        <v>5.8</v>
      </c>
      <c r="G53" s="93">
        <f t="shared" si="2"/>
        <v>87</v>
      </c>
      <c r="H53" s="93">
        <f t="shared" si="3"/>
        <v>6.090000000000001</v>
      </c>
      <c r="I53" s="18">
        <f t="shared" si="4"/>
        <v>34706.91</v>
      </c>
    </row>
    <row r="54" spans="3:10" ht="11.25">
      <c r="C54" s="90" t="s">
        <v>320</v>
      </c>
      <c r="D54" s="91" t="s">
        <v>230</v>
      </c>
      <c r="E54" s="92">
        <v>5000</v>
      </c>
      <c r="F54" s="93">
        <v>5.9</v>
      </c>
      <c r="G54" s="93">
        <f t="shared" si="2"/>
        <v>73.75</v>
      </c>
      <c r="H54" s="93">
        <f t="shared" si="3"/>
        <v>5.1625000000000005</v>
      </c>
      <c r="I54" s="18">
        <f t="shared" si="4"/>
        <v>29421.0875</v>
      </c>
      <c r="J54" s="10">
        <f>SUM(I53:I54,I44,I36,)</f>
        <v>809.0712500000009</v>
      </c>
    </row>
    <row r="55" spans="3:10" ht="11.25">
      <c r="C55" s="90" t="s">
        <v>310</v>
      </c>
      <c r="D55" s="91" t="s">
        <v>230</v>
      </c>
      <c r="E55" s="92">
        <v>1500</v>
      </c>
      <c r="F55" s="93">
        <v>8.75</v>
      </c>
      <c r="G55" s="93">
        <f t="shared" si="2"/>
        <v>32.8125</v>
      </c>
      <c r="H55" s="93">
        <f t="shared" si="3"/>
        <v>2.296875</v>
      </c>
      <c r="I55" s="18">
        <f t="shared" si="4"/>
        <v>13089.890625</v>
      </c>
      <c r="J55" s="13">
        <v>-14934.274375000003</v>
      </c>
    </row>
    <row r="56" spans="3:9" ht="11.25">
      <c r="C56" s="90" t="s">
        <v>23</v>
      </c>
      <c r="D56" s="91" t="s">
        <v>230</v>
      </c>
      <c r="E56" s="92">
        <v>1000</v>
      </c>
      <c r="F56" s="93">
        <v>16</v>
      </c>
      <c r="G56" s="93">
        <f t="shared" si="2"/>
        <v>40</v>
      </c>
      <c r="H56" s="93">
        <f t="shared" si="3"/>
        <v>2.8000000000000003</v>
      </c>
      <c r="I56" s="18">
        <f t="shared" si="4"/>
        <v>15957.2</v>
      </c>
    </row>
    <row r="57" spans="3:9" ht="11.25">
      <c r="C57" s="90" t="s">
        <v>23</v>
      </c>
      <c r="D57" s="91" t="s">
        <v>230</v>
      </c>
      <c r="E57" s="92">
        <v>1000</v>
      </c>
      <c r="F57" s="93">
        <v>16.1</v>
      </c>
      <c r="G57" s="93">
        <f t="shared" si="2"/>
        <v>40.25000000000001</v>
      </c>
      <c r="H57" s="93">
        <f t="shared" si="3"/>
        <v>2.817500000000001</v>
      </c>
      <c r="I57" s="18">
        <f t="shared" si="4"/>
        <v>16056.932500000003</v>
      </c>
    </row>
    <row r="58" spans="1:9" ht="12" thickBot="1">
      <c r="A58" s="6"/>
      <c r="B58" s="21"/>
      <c r="C58" s="6"/>
      <c r="D58" s="7"/>
      <c r="E58" s="22"/>
      <c r="F58" s="8"/>
      <c r="G58" s="8"/>
      <c r="H58" s="12" t="s">
        <v>26</v>
      </c>
      <c r="I58" s="12">
        <f>SUM(I49:I57)</f>
        <v>124919.31312500002</v>
      </c>
    </row>
    <row r="59" spans="1:10" ht="11.25">
      <c r="A59" s="3" t="s">
        <v>233</v>
      </c>
      <c r="B59" s="17">
        <f>B49+1</f>
        <v>37993</v>
      </c>
      <c r="C59" s="90" t="s">
        <v>315</v>
      </c>
      <c r="D59" s="91" t="s">
        <v>230</v>
      </c>
      <c r="E59" s="92">
        <v>7000</v>
      </c>
      <c r="F59" s="93">
        <v>7</v>
      </c>
      <c r="G59" s="93">
        <f t="shared" si="2"/>
        <v>122.5</v>
      </c>
      <c r="H59" s="93">
        <f t="shared" si="3"/>
        <v>8.575000000000001</v>
      </c>
      <c r="I59" s="18">
        <f t="shared" si="4"/>
        <v>48868.925</v>
      </c>
      <c r="J59" s="13">
        <f>SUM(I59,I51:I52,)</f>
        <v>-1716.0287499999977</v>
      </c>
    </row>
    <row r="60" spans="3:10" ht="11.25">
      <c r="C60" s="90" t="s">
        <v>23</v>
      </c>
      <c r="D60" s="91" t="s">
        <v>230</v>
      </c>
      <c r="E60" s="92">
        <v>4000</v>
      </c>
      <c r="F60" s="93">
        <v>15.974999</v>
      </c>
      <c r="G60" s="93">
        <f t="shared" si="2"/>
        <v>159.74999</v>
      </c>
      <c r="H60" s="93">
        <f t="shared" si="3"/>
        <v>11.182499300000002</v>
      </c>
      <c r="I60" s="18">
        <f t="shared" si="4"/>
        <v>63729.063510700005</v>
      </c>
      <c r="J60" s="10">
        <f>SUM(I60,I56:I57,I43,I38:I40,)</f>
        <v>10064.617260700014</v>
      </c>
    </row>
    <row r="61" spans="3:9" ht="11.25">
      <c r="C61" s="90" t="s">
        <v>280</v>
      </c>
      <c r="D61" s="91" t="s">
        <v>231</v>
      </c>
      <c r="E61" s="92">
        <v>300</v>
      </c>
      <c r="F61" s="93">
        <v>38.75</v>
      </c>
      <c r="G61" s="93">
        <f t="shared" si="2"/>
        <v>29.0625</v>
      </c>
      <c r="H61" s="93">
        <f t="shared" si="3"/>
        <v>2.0343750000000003</v>
      </c>
      <c r="I61" s="18">
        <f t="shared" si="4"/>
        <v>-11656.096875</v>
      </c>
    </row>
    <row r="62" spans="1:9" ht="12" thickBot="1">
      <c r="A62" s="6"/>
      <c r="B62" s="21"/>
      <c r="C62" s="6"/>
      <c r="D62" s="7"/>
      <c r="E62" s="22"/>
      <c r="F62" s="8"/>
      <c r="G62" s="8"/>
      <c r="H62" s="12" t="s">
        <v>26</v>
      </c>
      <c r="I62" s="12">
        <f>SUM(I59:I61)</f>
        <v>100941.8916357</v>
      </c>
    </row>
    <row r="63" spans="1:9" ht="11.25">
      <c r="A63" s="3" t="s">
        <v>235</v>
      </c>
      <c r="B63" s="17">
        <f>B59+1</f>
        <v>37994</v>
      </c>
      <c r="C63" s="90" t="s">
        <v>328</v>
      </c>
      <c r="D63" s="91" t="s">
        <v>231</v>
      </c>
      <c r="E63" s="92">
        <v>400</v>
      </c>
      <c r="F63" s="93">
        <v>122</v>
      </c>
      <c r="G63" s="93">
        <f t="shared" si="2"/>
        <v>122</v>
      </c>
      <c r="H63" s="93">
        <f t="shared" si="3"/>
        <v>8.540000000000001</v>
      </c>
      <c r="I63" s="18">
        <f t="shared" si="4"/>
        <v>-48930.54</v>
      </c>
    </row>
    <row r="64" spans="3:10" ht="11.25">
      <c r="C64" s="90" t="s">
        <v>328</v>
      </c>
      <c r="D64" s="91" t="s">
        <v>230</v>
      </c>
      <c r="E64" s="92">
        <v>400</v>
      </c>
      <c r="F64" s="93">
        <v>123</v>
      </c>
      <c r="G64" s="93">
        <f t="shared" si="2"/>
        <v>123</v>
      </c>
      <c r="H64" s="93">
        <f t="shared" si="3"/>
        <v>8.610000000000001</v>
      </c>
      <c r="I64" s="18">
        <f t="shared" si="4"/>
        <v>49068.39</v>
      </c>
      <c r="J64" s="10">
        <f>SUM(I63:I64)</f>
        <v>137.84999999999854</v>
      </c>
    </row>
    <row r="65" spans="3:10" ht="11.25">
      <c r="C65" s="90" t="s">
        <v>280</v>
      </c>
      <c r="D65" s="91" t="s">
        <v>230</v>
      </c>
      <c r="E65" s="92">
        <v>300</v>
      </c>
      <c r="F65" s="93">
        <v>41</v>
      </c>
      <c r="G65" s="93">
        <f t="shared" si="2"/>
        <v>30.75</v>
      </c>
      <c r="H65" s="93">
        <f t="shared" si="3"/>
        <v>2.1525000000000003</v>
      </c>
      <c r="I65" s="18">
        <f t="shared" si="4"/>
        <v>12267.0975</v>
      </c>
      <c r="J65" s="10">
        <f>SUM(I65,I61)</f>
        <v>611.0006250000006</v>
      </c>
    </row>
    <row r="66" spans="3:9" ht="11.25">
      <c r="C66" s="90" t="s">
        <v>280</v>
      </c>
      <c r="D66" s="91" t="s">
        <v>231</v>
      </c>
      <c r="E66" s="92">
        <v>700</v>
      </c>
      <c r="F66" s="93">
        <v>40.46428</v>
      </c>
      <c r="G66" s="93">
        <f t="shared" si="2"/>
        <v>70.81249000000001</v>
      </c>
      <c r="H66" s="93">
        <f t="shared" si="3"/>
        <v>4.956874300000001</v>
      </c>
      <c r="I66" s="18">
        <f t="shared" si="4"/>
        <v>-28400.765364300005</v>
      </c>
    </row>
    <row r="67" spans="1:9" ht="12" thickBot="1">
      <c r="A67" s="6"/>
      <c r="B67" s="21"/>
      <c r="C67" s="6"/>
      <c r="D67" s="7"/>
      <c r="E67" s="22"/>
      <c r="F67" s="8"/>
      <c r="G67" s="8"/>
      <c r="H67" s="11" t="s">
        <v>13</v>
      </c>
      <c r="I67" s="11">
        <f>SUM(I63:I66)</f>
        <v>-15995.817864300006</v>
      </c>
    </row>
    <row r="68" spans="1:9" ht="11.25">
      <c r="A68" s="3" t="s">
        <v>237</v>
      </c>
      <c r="B68" s="17">
        <f>B63+1</f>
        <v>37995</v>
      </c>
      <c r="C68" s="90" t="s">
        <v>329</v>
      </c>
      <c r="D68" s="91" t="s">
        <v>231</v>
      </c>
      <c r="E68" s="92">
        <v>1000</v>
      </c>
      <c r="F68" s="93">
        <v>26.5</v>
      </c>
      <c r="G68" s="93">
        <f t="shared" si="2"/>
        <v>66.25</v>
      </c>
      <c r="H68" s="93">
        <f t="shared" si="3"/>
        <v>4.6375</v>
      </c>
      <c r="I68" s="18">
        <f t="shared" si="4"/>
        <v>-26570.8875</v>
      </c>
    </row>
    <row r="69" spans="3:9" ht="11.25">
      <c r="C69" s="90" t="s">
        <v>23</v>
      </c>
      <c r="D69" s="91" t="s">
        <v>231</v>
      </c>
      <c r="E69" s="92">
        <v>1000</v>
      </c>
      <c r="F69" s="93">
        <v>11.9</v>
      </c>
      <c r="G69" s="93">
        <f t="shared" si="2"/>
        <v>29.75</v>
      </c>
      <c r="H69" s="93">
        <f t="shared" si="3"/>
        <v>2.0825</v>
      </c>
      <c r="I69" s="18">
        <f t="shared" si="4"/>
        <v>-11931.8325</v>
      </c>
    </row>
    <row r="70" spans="3:9" ht="11.25">
      <c r="C70" s="3" t="s">
        <v>318</v>
      </c>
      <c r="D70" s="4" t="s">
        <v>231</v>
      </c>
      <c r="E70" s="20">
        <v>100</v>
      </c>
      <c r="F70" s="5">
        <v>103</v>
      </c>
      <c r="G70" s="5">
        <f t="shared" si="2"/>
        <v>25.75</v>
      </c>
      <c r="H70" s="5">
        <f t="shared" si="3"/>
        <v>1.8025000000000002</v>
      </c>
      <c r="I70" s="19">
        <f t="shared" si="4"/>
        <v>-10327.5525</v>
      </c>
    </row>
    <row r="71" spans="3:10" ht="11.25">
      <c r="C71" s="90" t="s">
        <v>280</v>
      </c>
      <c r="D71" s="91" t="s">
        <v>230</v>
      </c>
      <c r="E71" s="92">
        <v>700</v>
      </c>
      <c r="F71" s="93">
        <v>40.5</v>
      </c>
      <c r="G71" s="93">
        <f t="shared" si="2"/>
        <v>70.875</v>
      </c>
      <c r="H71" s="93">
        <f t="shared" si="3"/>
        <v>4.961250000000001</v>
      </c>
      <c r="I71" s="18">
        <f t="shared" si="4"/>
        <v>28274.16375</v>
      </c>
      <c r="J71" s="13">
        <f>SUM(I71,I66)</f>
        <v>-126.60161430000517</v>
      </c>
    </row>
    <row r="72" spans="1:9" ht="12" thickBot="1">
      <c r="A72" s="6"/>
      <c r="B72" s="21"/>
      <c r="C72" s="6"/>
      <c r="D72" s="7"/>
      <c r="E72" s="22"/>
      <c r="F72" s="8"/>
      <c r="G72" s="8"/>
      <c r="H72" s="11" t="s">
        <v>13</v>
      </c>
      <c r="I72" s="11">
        <f>SUM(I68:I71)</f>
        <v>-20556.10875</v>
      </c>
    </row>
    <row r="73" spans="1:9" ht="11.25">
      <c r="A73" s="3" t="s">
        <v>229</v>
      </c>
      <c r="B73" s="17">
        <f>B68+3</f>
        <v>37998</v>
      </c>
      <c r="C73" s="90" t="s">
        <v>23</v>
      </c>
      <c r="D73" s="91" t="s">
        <v>231</v>
      </c>
      <c r="E73" s="92">
        <v>3000</v>
      </c>
      <c r="F73" s="93">
        <v>11.133335</v>
      </c>
      <c r="G73" s="93">
        <f t="shared" si="2"/>
        <v>83.50001250000001</v>
      </c>
      <c r="H73" s="93">
        <f t="shared" si="3"/>
        <v>5.845000875000001</v>
      </c>
      <c r="I73" s="18">
        <f t="shared" si="4"/>
        <v>-33489.350013375006</v>
      </c>
    </row>
    <row r="74" spans="3:9" ht="11.25">
      <c r="C74" s="90" t="s">
        <v>205</v>
      </c>
      <c r="D74" s="91" t="s">
        <v>231</v>
      </c>
      <c r="E74" s="92">
        <v>1000</v>
      </c>
      <c r="F74" s="93">
        <v>43.5</v>
      </c>
      <c r="G74" s="93">
        <f t="shared" si="2"/>
        <v>108.75</v>
      </c>
      <c r="H74" s="93">
        <f t="shared" si="3"/>
        <v>7.612500000000001</v>
      </c>
      <c r="I74" s="93">
        <f t="shared" si="4"/>
        <v>-43616.3625</v>
      </c>
    </row>
    <row r="75" spans="1:9" ht="12" thickBot="1">
      <c r="A75" s="6"/>
      <c r="B75" s="21"/>
      <c r="C75" s="6"/>
      <c r="D75" s="7"/>
      <c r="E75" s="22"/>
      <c r="F75" s="8"/>
      <c r="G75" s="8"/>
      <c r="H75" s="11" t="s">
        <v>13</v>
      </c>
      <c r="I75" s="11">
        <f>SUM(I73:I74)</f>
        <v>-77105.71251337501</v>
      </c>
    </row>
    <row r="76" spans="1:9" ht="11.25">
      <c r="A76" s="3" t="s">
        <v>258</v>
      </c>
      <c r="B76" s="17">
        <v>37999</v>
      </c>
      <c r="C76" s="90" t="s">
        <v>331</v>
      </c>
      <c r="D76" s="91" t="s">
        <v>231</v>
      </c>
      <c r="E76" s="92">
        <v>300</v>
      </c>
      <c r="F76" s="93">
        <v>87.5</v>
      </c>
      <c r="G76" s="93">
        <f t="shared" si="2"/>
        <v>65.625</v>
      </c>
      <c r="H76" s="93">
        <f t="shared" si="3"/>
        <v>4.59375</v>
      </c>
      <c r="I76" s="18">
        <f t="shared" si="4"/>
        <v>-26320.21875</v>
      </c>
    </row>
    <row r="77" spans="3:9" ht="11.25">
      <c r="C77" s="90" t="s">
        <v>332</v>
      </c>
      <c r="D77" s="91" t="s">
        <v>231</v>
      </c>
      <c r="E77" s="92">
        <v>500</v>
      </c>
      <c r="F77" s="93">
        <v>142</v>
      </c>
      <c r="G77" s="93">
        <f>(($E77*$F77)*0.0025)</f>
        <v>177.5</v>
      </c>
      <c r="H77" s="93">
        <f t="shared" si="3"/>
        <v>12.425</v>
      </c>
      <c r="I77" s="18">
        <f t="shared" si="4"/>
        <v>-71189.925</v>
      </c>
    </row>
    <row r="78" spans="3:10" ht="11.25">
      <c r="C78" s="90" t="s">
        <v>332</v>
      </c>
      <c r="D78" s="91" t="s">
        <v>230</v>
      </c>
      <c r="E78" s="92">
        <v>500</v>
      </c>
      <c r="F78" s="93">
        <v>139</v>
      </c>
      <c r="G78" s="93">
        <f>(($E78*$F78)*0.0025)</f>
        <v>173.75</v>
      </c>
      <c r="H78" s="93">
        <f t="shared" si="3"/>
        <v>12.162500000000001</v>
      </c>
      <c r="I78" s="18">
        <f t="shared" si="4"/>
        <v>69314.0875</v>
      </c>
      <c r="J78" s="13">
        <f>SUM(I77:I78)</f>
        <v>-1875.8375000000087</v>
      </c>
    </row>
    <row r="79" spans="3:9" ht="11.25">
      <c r="C79" s="90" t="s">
        <v>333</v>
      </c>
      <c r="D79" s="91" t="s">
        <v>231</v>
      </c>
      <c r="E79" s="92">
        <v>3000</v>
      </c>
      <c r="F79" s="93">
        <v>12.2</v>
      </c>
      <c r="G79" s="93">
        <f>(($E79*$F79)*0.0025)</f>
        <v>91.5</v>
      </c>
      <c r="H79" s="93">
        <f t="shared" si="3"/>
        <v>6.405</v>
      </c>
      <c r="I79" s="18">
        <f t="shared" si="4"/>
        <v>-36697.905</v>
      </c>
    </row>
    <row r="80" spans="3:10" ht="11.25">
      <c r="C80" s="90" t="s">
        <v>333</v>
      </c>
      <c r="D80" s="91" t="s">
        <v>230</v>
      </c>
      <c r="E80" s="92">
        <v>3000</v>
      </c>
      <c r="F80" s="93">
        <v>12.4</v>
      </c>
      <c r="G80" s="93">
        <f>(($E80*$F80)*0.0025)</f>
        <v>93</v>
      </c>
      <c r="H80" s="93">
        <f t="shared" si="3"/>
        <v>6.510000000000001</v>
      </c>
      <c r="I80" s="18">
        <f t="shared" si="4"/>
        <v>37100.49</v>
      </c>
      <c r="J80" s="10">
        <f>SUM(I79:I80)</f>
        <v>402.5849999999991</v>
      </c>
    </row>
    <row r="81" spans="1:9" ht="12" thickBot="1">
      <c r="A81" s="6"/>
      <c r="B81" s="21"/>
      <c r="C81" s="6"/>
      <c r="D81" s="7"/>
      <c r="E81" s="22"/>
      <c r="F81" s="8"/>
      <c r="G81" s="8"/>
      <c r="H81" s="11" t="s">
        <v>13</v>
      </c>
      <c r="I81" s="11">
        <f>SUM(I76:I80)</f>
        <v>-27793.47125000001</v>
      </c>
    </row>
    <row r="82" spans="1:9" ht="11.25">
      <c r="A82" s="3" t="s">
        <v>233</v>
      </c>
      <c r="B82" s="17">
        <f>B76+1</f>
        <v>38000</v>
      </c>
      <c r="C82" s="90" t="s">
        <v>332</v>
      </c>
      <c r="D82" s="91" t="s">
        <v>231</v>
      </c>
      <c r="E82" s="92">
        <v>500</v>
      </c>
      <c r="F82" s="93">
        <v>136</v>
      </c>
      <c r="G82" s="93">
        <f>(($E82*$F82)*0.0025)</f>
        <v>170</v>
      </c>
      <c r="H82" s="93">
        <f t="shared" si="3"/>
        <v>11.9</v>
      </c>
      <c r="I82" s="18">
        <f t="shared" si="4"/>
        <v>-68181.9</v>
      </c>
    </row>
    <row r="83" spans="3:10" ht="11.25">
      <c r="C83" s="90" t="s">
        <v>23</v>
      </c>
      <c r="D83" s="91" t="s">
        <v>230</v>
      </c>
      <c r="E83" s="92">
        <v>4000</v>
      </c>
      <c r="F83" s="93">
        <v>12.1</v>
      </c>
      <c r="G83" s="93">
        <f>(($E83*$F83)*0.0025)</f>
        <v>121</v>
      </c>
      <c r="H83" s="93">
        <f t="shared" si="3"/>
        <v>8.47</v>
      </c>
      <c r="I83" s="18">
        <f t="shared" si="4"/>
        <v>48270.53</v>
      </c>
      <c r="J83" s="10">
        <f>SUM(I83,I73,I69)</f>
        <v>2849.3474866249926</v>
      </c>
    </row>
    <row r="84" spans="3:9" ht="11.25">
      <c r="C84" s="90" t="s">
        <v>23</v>
      </c>
      <c r="D84" s="91" t="s">
        <v>231</v>
      </c>
      <c r="E84" s="92">
        <v>4000</v>
      </c>
      <c r="F84" s="93">
        <v>12</v>
      </c>
      <c r="G84" s="93">
        <f>(($E84*$F84)*0.0025)</f>
        <v>120</v>
      </c>
      <c r="H84" s="93">
        <f t="shared" si="3"/>
        <v>8.4</v>
      </c>
      <c r="I84" s="18">
        <f t="shared" si="4"/>
        <v>-48128.4</v>
      </c>
    </row>
    <row r="85" spans="3:9" ht="11.25">
      <c r="C85" s="90" t="s">
        <v>322</v>
      </c>
      <c r="D85" s="91" t="s">
        <v>231</v>
      </c>
      <c r="E85" s="92">
        <v>6700</v>
      </c>
      <c r="F85" s="93">
        <v>4.2</v>
      </c>
      <c r="G85" s="93">
        <f>(($E85*$F85)*0.0025)</f>
        <v>70.35000000000001</v>
      </c>
      <c r="H85" s="93">
        <f t="shared" si="3"/>
        <v>4.924500000000001</v>
      </c>
      <c r="I85" s="18">
        <f t="shared" si="4"/>
        <v>-28215.2745</v>
      </c>
    </row>
    <row r="86" spans="1:9" ht="12" thickBot="1">
      <c r="A86" s="6"/>
      <c r="B86" s="21"/>
      <c r="C86" s="6"/>
      <c r="D86" s="7"/>
      <c r="E86" s="22"/>
      <c r="F86" s="8"/>
      <c r="G86" s="8"/>
      <c r="H86" s="11" t="s">
        <v>13</v>
      </c>
      <c r="I86" s="11">
        <f>SUM(I82:I85)</f>
        <v>-96255.04449999999</v>
      </c>
    </row>
    <row r="87" spans="1:10" ht="11.25">
      <c r="A87" s="3" t="s">
        <v>235</v>
      </c>
      <c r="B87" s="17">
        <f>B82+1</f>
        <v>38001</v>
      </c>
      <c r="C87" s="90" t="s">
        <v>23</v>
      </c>
      <c r="D87" s="91" t="s">
        <v>230</v>
      </c>
      <c r="E87" s="92">
        <v>4000</v>
      </c>
      <c r="F87" s="93">
        <v>11.9</v>
      </c>
      <c r="G87" s="93">
        <f>(($E87*$F87)*0.0025)</f>
        <v>119</v>
      </c>
      <c r="H87" s="93">
        <f t="shared" si="3"/>
        <v>8.33</v>
      </c>
      <c r="I87" s="18">
        <f t="shared" si="4"/>
        <v>47472.67</v>
      </c>
      <c r="J87" s="13">
        <f>SUM(I87,I84)</f>
        <v>-655.7300000000032</v>
      </c>
    </row>
    <row r="88" spans="3:10" ht="11.25">
      <c r="C88" s="90" t="s">
        <v>332</v>
      </c>
      <c r="D88" s="91" t="s">
        <v>230</v>
      </c>
      <c r="E88" s="92">
        <v>500</v>
      </c>
      <c r="F88" s="93">
        <v>132</v>
      </c>
      <c r="G88" s="93">
        <f>(($E88*$F88)*0.0025)</f>
        <v>165</v>
      </c>
      <c r="H88" s="93">
        <f t="shared" si="3"/>
        <v>11.55</v>
      </c>
      <c r="I88" s="18">
        <f t="shared" si="4"/>
        <v>65823.45</v>
      </c>
      <c r="J88" s="13">
        <f>SUM(I88,I82)</f>
        <v>-2358.449999999997</v>
      </c>
    </row>
    <row r="89" spans="3:10" ht="11.25">
      <c r="C89" s="90" t="s">
        <v>329</v>
      </c>
      <c r="D89" s="91" t="s">
        <v>230</v>
      </c>
      <c r="E89" s="92">
        <v>1000</v>
      </c>
      <c r="F89" s="93">
        <v>25.5</v>
      </c>
      <c r="G89" s="93">
        <f>(($E89*$F89)*0.0025)</f>
        <v>63.75</v>
      </c>
      <c r="H89" s="93">
        <f t="shared" si="3"/>
        <v>4.4625</v>
      </c>
      <c r="I89" s="18">
        <f t="shared" si="4"/>
        <v>25431.7875</v>
      </c>
      <c r="J89" s="13">
        <f>SUM(I89,I68)</f>
        <v>-1139.1000000000022</v>
      </c>
    </row>
    <row r="90" spans="1:9" ht="12" thickBot="1">
      <c r="A90" s="6"/>
      <c r="B90" s="21"/>
      <c r="C90" s="6"/>
      <c r="D90" s="7"/>
      <c r="E90" s="22"/>
      <c r="F90" s="8"/>
      <c r="G90" s="8"/>
      <c r="H90" s="12" t="s">
        <v>26</v>
      </c>
      <c r="I90" s="12">
        <f>SUM(I87:I89)</f>
        <v>138727.9075</v>
      </c>
    </row>
    <row r="91" spans="1:10" ht="11.25">
      <c r="A91" s="3" t="s">
        <v>237</v>
      </c>
      <c r="B91" s="17">
        <f>B87+1</f>
        <v>38002</v>
      </c>
      <c r="C91" s="90" t="s">
        <v>331</v>
      </c>
      <c r="D91" s="91" t="s">
        <v>230</v>
      </c>
      <c r="E91" s="92">
        <v>300</v>
      </c>
      <c r="F91" s="93">
        <v>84</v>
      </c>
      <c r="G91" s="93">
        <f aca="true" t="shared" si="5" ref="G91:G156">(($E91*$F91)*0.0025)</f>
        <v>63</v>
      </c>
      <c r="H91" s="93">
        <f t="shared" si="3"/>
        <v>4.41</v>
      </c>
      <c r="I91" s="18">
        <f t="shared" si="4"/>
        <v>25132.59</v>
      </c>
      <c r="J91" s="13">
        <f>SUM(I91,I76,)</f>
        <v>-1187.6287499999999</v>
      </c>
    </row>
    <row r="92" spans="3:9" ht="11.25">
      <c r="C92" s="90" t="s">
        <v>331</v>
      </c>
      <c r="D92" s="91" t="s">
        <v>231</v>
      </c>
      <c r="E92" s="92">
        <v>500</v>
      </c>
      <c r="F92" s="93">
        <v>82.5</v>
      </c>
      <c r="G92" s="93">
        <f t="shared" si="5"/>
        <v>103.125</v>
      </c>
      <c r="H92" s="93">
        <f t="shared" si="3"/>
        <v>7.218750000000001</v>
      </c>
      <c r="I92" s="18">
        <f t="shared" si="4"/>
        <v>-41360.34375</v>
      </c>
    </row>
    <row r="93" spans="3:10" ht="11.25">
      <c r="C93" s="90" t="s">
        <v>331</v>
      </c>
      <c r="D93" s="91" t="s">
        <v>230</v>
      </c>
      <c r="E93" s="92">
        <v>500</v>
      </c>
      <c r="F93" s="93">
        <v>82</v>
      </c>
      <c r="G93" s="93">
        <f t="shared" si="5"/>
        <v>102.5</v>
      </c>
      <c r="H93" s="93">
        <f t="shared" si="3"/>
        <v>7.175000000000001</v>
      </c>
      <c r="I93" s="18">
        <f t="shared" si="4"/>
        <v>40890.325</v>
      </c>
      <c r="J93" s="13">
        <f>SUM(I92:I93)</f>
        <v>-470.0187500000029</v>
      </c>
    </row>
    <row r="94" spans="3:9" ht="11.25">
      <c r="C94" s="3" t="s">
        <v>334</v>
      </c>
      <c r="D94" s="4" t="s">
        <v>231</v>
      </c>
      <c r="E94" s="20">
        <v>1000</v>
      </c>
      <c r="F94" s="5">
        <v>20.6</v>
      </c>
      <c r="G94" s="5">
        <f t="shared" si="5"/>
        <v>51.5</v>
      </c>
      <c r="H94" s="5">
        <f t="shared" si="3"/>
        <v>3.6050000000000004</v>
      </c>
      <c r="I94" s="19">
        <f t="shared" si="4"/>
        <v>-20655.105</v>
      </c>
    </row>
    <row r="95" spans="3:9" ht="11.25">
      <c r="C95" s="3" t="s">
        <v>200</v>
      </c>
      <c r="D95" s="4" t="s">
        <v>231</v>
      </c>
      <c r="E95" s="20">
        <v>11000</v>
      </c>
      <c r="F95" s="5">
        <v>4.1</v>
      </c>
      <c r="G95" s="5">
        <f t="shared" si="5"/>
        <v>112.74999999999999</v>
      </c>
      <c r="H95" s="5">
        <f t="shared" si="3"/>
        <v>7.8925</v>
      </c>
      <c r="I95" s="19">
        <f t="shared" si="4"/>
        <v>-45220.642499999994</v>
      </c>
    </row>
    <row r="96" spans="3:10" ht="11.25">
      <c r="C96" s="90" t="s">
        <v>322</v>
      </c>
      <c r="D96" s="91" t="s">
        <v>230</v>
      </c>
      <c r="E96" s="92">
        <v>6700</v>
      </c>
      <c r="F96" s="93">
        <v>4.06</v>
      </c>
      <c r="G96" s="93">
        <f t="shared" si="5"/>
        <v>68.005</v>
      </c>
      <c r="H96" s="93">
        <f t="shared" si="3"/>
        <v>4.76035</v>
      </c>
      <c r="I96" s="18">
        <f t="shared" si="4"/>
        <v>27129.234649999995</v>
      </c>
      <c r="J96" s="13">
        <f>SUM(I96,I85)</f>
        <v>-1086.0398500000047</v>
      </c>
    </row>
    <row r="97" spans="3:9" ht="11.25">
      <c r="C97" s="90" t="s">
        <v>322</v>
      </c>
      <c r="D97" s="91" t="s">
        <v>231</v>
      </c>
      <c r="E97" s="92">
        <v>10000</v>
      </c>
      <c r="F97" s="93">
        <v>4.2</v>
      </c>
      <c r="G97" s="93">
        <f t="shared" si="5"/>
        <v>105</v>
      </c>
      <c r="H97" s="93">
        <f t="shared" si="3"/>
        <v>7.3500000000000005</v>
      </c>
      <c r="I97" s="18">
        <f t="shared" si="4"/>
        <v>-42112.35</v>
      </c>
    </row>
    <row r="98" spans="3:10" ht="11.25">
      <c r="C98" s="90" t="s">
        <v>322</v>
      </c>
      <c r="D98" s="91" t="s">
        <v>230</v>
      </c>
      <c r="E98" s="92">
        <v>10000</v>
      </c>
      <c r="F98" s="93">
        <v>4.16</v>
      </c>
      <c r="G98" s="93">
        <f t="shared" si="5"/>
        <v>104</v>
      </c>
      <c r="H98" s="93">
        <f t="shared" si="3"/>
        <v>7.280000000000001</v>
      </c>
      <c r="I98" s="18">
        <f t="shared" si="4"/>
        <v>41488.72</v>
      </c>
      <c r="J98" s="13">
        <f>SUM(I97:I98)</f>
        <v>-623.6299999999974</v>
      </c>
    </row>
    <row r="99" spans="3:9" ht="11.25">
      <c r="C99" s="90" t="s">
        <v>23</v>
      </c>
      <c r="D99" s="91" t="s">
        <v>231</v>
      </c>
      <c r="E99" s="92">
        <v>1000</v>
      </c>
      <c r="F99" s="93">
        <v>11.7</v>
      </c>
      <c r="G99" s="93">
        <f t="shared" si="5"/>
        <v>29.25</v>
      </c>
      <c r="H99" s="93">
        <f t="shared" si="3"/>
        <v>2.0475000000000003</v>
      </c>
      <c r="I99" s="18">
        <f t="shared" si="4"/>
        <v>-11731.2975</v>
      </c>
    </row>
    <row r="100" spans="1:9" ht="12" thickBot="1">
      <c r="A100" s="6"/>
      <c r="B100" s="21"/>
      <c r="C100" s="6"/>
      <c r="D100" s="7"/>
      <c r="E100" s="22"/>
      <c r="F100" s="8"/>
      <c r="G100" s="8"/>
      <c r="H100" s="11" t="s">
        <v>13</v>
      </c>
      <c r="I100" s="11">
        <f>SUM(I91:I99)</f>
        <v>-26438.869099999996</v>
      </c>
    </row>
    <row r="101" spans="1:9" ht="11.25">
      <c r="A101" s="3" t="s">
        <v>229</v>
      </c>
      <c r="B101" s="17">
        <f>B91+3</f>
        <v>38005</v>
      </c>
      <c r="C101" s="90" t="s">
        <v>23</v>
      </c>
      <c r="D101" s="91" t="s">
        <v>231</v>
      </c>
      <c r="E101" s="92">
        <v>1000</v>
      </c>
      <c r="F101" s="93">
        <v>11.8</v>
      </c>
      <c r="G101" s="93">
        <f t="shared" si="5"/>
        <v>29.5</v>
      </c>
      <c r="H101" s="93">
        <f t="shared" si="3"/>
        <v>2.0650000000000004</v>
      </c>
      <c r="I101" s="18">
        <f t="shared" si="4"/>
        <v>-11831.565</v>
      </c>
    </row>
    <row r="102" spans="3:9" ht="11.25">
      <c r="C102" s="3" t="s">
        <v>334</v>
      </c>
      <c r="D102" s="4" t="s">
        <v>231</v>
      </c>
      <c r="E102" s="20">
        <v>1000</v>
      </c>
      <c r="F102" s="5">
        <v>19.6</v>
      </c>
      <c r="G102" s="5">
        <f t="shared" si="5"/>
        <v>49</v>
      </c>
      <c r="H102" s="5">
        <f t="shared" si="3"/>
        <v>3.43</v>
      </c>
      <c r="I102" s="19">
        <f t="shared" si="4"/>
        <v>-19652.43</v>
      </c>
    </row>
    <row r="103" spans="3:10" ht="11.25">
      <c r="C103" s="3" t="s">
        <v>334</v>
      </c>
      <c r="D103" s="4" t="s">
        <v>231</v>
      </c>
      <c r="E103" s="20">
        <v>500</v>
      </c>
      <c r="F103" s="5">
        <v>20.9</v>
      </c>
      <c r="G103" s="5">
        <f t="shared" si="5"/>
        <v>26.125</v>
      </c>
      <c r="H103" s="5">
        <f t="shared" si="3"/>
        <v>1.82875</v>
      </c>
      <c r="I103" s="19">
        <f t="shared" si="4"/>
        <v>-10477.95375</v>
      </c>
      <c r="J103" s="9"/>
    </row>
    <row r="104" spans="3:9" ht="11.25">
      <c r="C104" s="3" t="s">
        <v>200</v>
      </c>
      <c r="D104" s="4" t="s">
        <v>231</v>
      </c>
      <c r="E104" s="20">
        <v>5000</v>
      </c>
      <c r="F104" s="5">
        <v>4.148</v>
      </c>
      <c r="G104" s="5">
        <f t="shared" si="5"/>
        <v>51.85</v>
      </c>
      <c r="H104" s="5">
        <f t="shared" si="3"/>
        <v>3.6295000000000006</v>
      </c>
      <c r="I104" s="19">
        <f t="shared" si="4"/>
        <v>-20795.479499999998</v>
      </c>
    </row>
    <row r="105" spans="1:9" ht="12" thickBot="1">
      <c r="A105" s="6"/>
      <c r="B105" s="21"/>
      <c r="C105" s="6"/>
      <c r="D105" s="7"/>
      <c r="E105" s="22"/>
      <c r="F105" s="8"/>
      <c r="G105" s="8"/>
      <c r="H105" s="11" t="s">
        <v>13</v>
      </c>
      <c r="I105" s="11">
        <f>SUM(I101:I104)</f>
        <v>-62757.42825</v>
      </c>
    </row>
    <row r="106" spans="1:9" ht="11.25">
      <c r="A106" s="3" t="s">
        <v>258</v>
      </c>
      <c r="B106" s="17">
        <v>38006</v>
      </c>
      <c r="C106" s="3" t="s">
        <v>334</v>
      </c>
      <c r="D106" s="4" t="s">
        <v>230</v>
      </c>
      <c r="E106" s="20">
        <v>1000</v>
      </c>
      <c r="F106" s="5">
        <v>19.8</v>
      </c>
      <c r="G106" s="5">
        <f t="shared" si="5"/>
        <v>49.5</v>
      </c>
      <c r="H106" s="5">
        <f t="shared" si="3"/>
        <v>3.4650000000000003</v>
      </c>
      <c r="I106" s="19">
        <f t="shared" si="4"/>
        <v>19747.035</v>
      </c>
    </row>
    <row r="107" spans="3:9" ht="11.25">
      <c r="C107" s="3" t="s">
        <v>334</v>
      </c>
      <c r="D107" s="4" t="s">
        <v>231</v>
      </c>
      <c r="E107" s="20">
        <v>1000</v>
      </c>
      <c r="F107" s="5">
        <v>19.6</v>
      </c>
      <c r="G107" s="5">
        <f t="shared" si="5"/>
        <v>49</v>
      </c>
      <c r="H107" s="5">
        <f t="shared" si="3"/>
        <v>3.43</v>
      </c>
      <c r="I107" s="19">
        <f t="shared" si="4"/>
        <v>-19652.43</v>
      </c>
    </row>
    <row r="108" spans="3:9" ht="11.25">
      <c r="C108" s="90" t="s">
        <v>336</v>
      </c>
      <c r="D108" s="91" t="s">
        <v>231</v>
      </c>
      <c r="E108" s="92">
        <v>2000</v>
      </c>
      <c r="F108" s="93">
        <v>12.3</v>
      </c>
      <c r="G108" s="93">
        <f t="shared" si="5"/>
        <v>61.5</v>
      </c>
      <c r="H108" s="93">
        <f t="shared" si="3"/>
        <v>4.305000000000001</v>
      </c>
      <c r="I108" s="18">
        <f t="shared" si="4"/>
        <v>-24665.805</v>
      </c>
    </row>
    <row r="109" spans="1:9" ht="12" thickBot="1">
      <c r="A109" s="6"/>
      <c r="B109" s="21"/>
      <c r="C109" s="6"/>
      <c r="D109" s="7"/>
      <c r="E109" s="22"/>
      <c r="F109" s="8"/>
      <c r="G109" s="8"/>
      <c r="H109" s="11" t="s">
        <v>13</v>
      </c>
      <c r="I109" s="11">
        <f>SUM(I106:I108)</f>
        <v>-24571.2</v>
      </c>
    </row>
    <row r="110" spans="1:9" ht="11.25">
      <c r="A110" s="3" t="s">
        <v>233</v>
      </c>
      <c r="B110" s="17">
        <f>B106+1</f>
        <v>38007</v>
      </c>
      <c r="C110" s="3" t="s">
        <v>334</v>
      </c>
      <c r="D110" s="4" t="s">
        <v>231</v>
      </c>
      <c r="E110" s="20">
        <v>1000</v>
      </c>
      <c r="F110" s="5">
        <v>18.5</v>
      </c>
      <c r="G110" s="5">
        <f t="shared" si="5"/>
        <v>46.25</v>
      </c>
      <c r="H110" s="5">
        <f t="shared" si="3"/>
        <v>3.2375000000000003</v>
      </c>
      <c r="I110" s="19">
        <f t="shared" si="4"/>
        <v>-18549.4875</v>
      </c>
    </row>
    <row r="111" spans="3:10" ht="11.25">
      <c r="C111" s="90" t="s">
        <v>336</v>
      </c>
      <c r="D111" s="91" t="s">
        <v>230</v>
      </c>
      <c r="E111" s="92">
        <v>2000</v>
      </c>
      <c r="F111" s="93">
        <v>12.5</v>
      </c>
      <c r="G111" s="93">
        <f t="shared" si="5"/>
        <v>62.5</v>
      </c>
      <c r="H111" s="93">
        <f t="shared" si="3"/>
        <v>4.375</v>
      </c>
      <c r="I111" s="18">
        <f t="shared" si="4"/>
        <v>24933.125</v>
      </c>
      <c r="J111" s="10">
        <f>SUM(I111,I108)</f>
        <v>267.3199999999997</v>
      </c>
    </row>
    <row r="112" spans="3:10" ht="11.25">
      <c r="C112" s="90" t="s">
        <v>205</v>
      </c>
      <c r="D112" s="91" t="s">
        <v>230</v>
      </c>
      <c r="E112" s="92">
        <v>1000</v>
      </c>
      <c r="F112" s="93">
        <v>41.75</v>
      </c>
      <c r="G112" s="93">
        <f t="shared" si="5"/>
        <v>104.375</v>
      </c>
      <c r="H112" s="93">
        <f t="shared" si="3"/>
        <v>7.30625</v>
      </c>
      <c r="I112" s="18">
        <f t="shared" si="4"/>
        <v>41638.31875</v>
      </c>
      <c r="J112" s="13">
        <f>SUM(I112,I74)</f>
        <v>-1978.0437500000044</v>
      </c>
    </row>
    <row r="113" spans="1:9" ht="12" thickBot="1">
      <c r="A113" s="6"/>
      <c r="B113" s="21"/>
      <c r="C113" s="6"/>
      <c r="D113" s="7"/>
      <c r="E113" s="22"/>
      <c r="F113" s="8"/>
      <c r="G113" s="8"/>
      <c r="H113" s="12" t="s">
        <v>26</v>
      </c>
      <c r="I113" s="12">
        <f>SUM(I110:I112)</f>
        <v>48021.95625</v>
      </c>
    </row>
    <row r="114" spans="1:9" ht="11.25">
      <c r="A114" s="3" t="s">
        <v>235</v>
      </c>
      <c r="B114" s="17">
        <f>B110+1</f>
        <v>38008</v>
      </c>
      <c r="C114" s="90" t="s">
        <v>337</v>
      </c>
      <c r="D114" s="91" t="s">
        <v>231</v>
      </c>
      <c r="E114" s="92">
        <v>1000</v>
      </c>
      <c r="F114" s="93">
        <v>14.4</v>
      </c>
      <c r="G114" s="93">
        <f t="shared" si="5"/>
        <v>36</v>
      </c>
      <c r="H114" s="93">
        <f t="shared" si="3"/>
        <v>2.5200000000000005</v>
      </c>
      <c r="I114" s="18">
        <f t="shared" si="4"/>
        <v>-14438.52</v>
      </c>
    </row>
    <row r="115" spans="3:9" ht="11.25">
      <c r="C115" s="3" t="s">
        <v>334</v>
      </c>
      <c r="D115" s="4" t="s">
        <v>230</v>
      </c>
      <c r="E115" s="20">
        <v>1000</v>
      </c>
      <c r="F115" s="5">
        <v>18.8</v>
      </c>
      <c r="G115" s="5">
        <f t="shared" si="5"/>
        <v>47</v>
      </c>
      <c r="H115" s="5">
        <f>$G115*0.07</f>
        <v>3.2900000000000005</v>
      </c>
      <c r="I115" s="19">
        <f>IF($D115="B",(($E115*$F115)+$G115+$H115)*(-1),IF($D115="S",($E115*$F115)-$G115-$H115))</f>
        <v>18749.71</v>
      </c>
    </row>
    <row r="116" spans="3:9" ht="11.25">
      <c r="C116" s="3" t="s">
        <v>334</v>
      </c>
      <c r="D116" s="4" t="s">
        <v>231</v>
      </c>
      <c r="E116" s="20">
        <v>1000</v>
      </c>
      <c r="F116" s="5">
        <v>18.6</v>
      </c>
      <c r="G116" s="5">
        <f t="shared" si="5"/>
        <v>46.5</v>
      </c>
      <c r="H116" s="5">
        <f>$G116*0.07</f>
        <v>3.2550000000000003</v>
      </c>
      <c r="I116" s="19">
        <f>IF($D116="B",(($E116*$F116)+$G116+$H116)*(-1),IF($D116="S",($E116*$F116)-$G116-$H116))</f>
        <v>-18649.755</v>
      </c>
    </row>
    <row r="117" spans="3:9" ht="11.25">
      <c r="C117" s="3" t="s">
        <v>334</v>
      </c>
      <c r="D117" s="4" t="s">
        <v>230</v>
      </c>
      <c r="E117" s="20">
        <v>1500</v>
      </c>
      <c r="F117" s="5">
        <v>18.8</v>
      </c>
      <c r="G117" s="5">
        <f t="shared" si="5"/>
        <v>70.5</v>
      </c>
      <c r="H117" s="5">
        <f>$G117*0.07</f>
        <v>4.9350000000000005</v>
      </c>
      <c r="I117" s="19">
        <f>IF($D117="B",(($E117*$F117)+$G117+$H117)*(-1),IF($D117="S",($E117*$F117)-$G117-$H117))</f>
        <v>28124.565</v>
      </c>
    </row>
    <row r="118" spans="3:10" ht="11.25">
      <c r="C118" s="3" t="s">
        <v>334</v>
      </c>
      <c r="D118" s="4" t="s">
        <v>231</v>
      </c>
      <c r="E118" s="20">
        <v>1500</v>
      </c>
      <c r="F118" s="5">
        <v>18.5</v>
      </c>
      <c r="G118" s="5">
        <f t="shared" si="5"/>
        <v>69.375</v>
      </c>
      <c r="H118" s="5">
        <f>$G118*0.07</f>
        <v>4.85625</v>
      </c>
      <c r="I118" s="19">
        <f>IF($D118="B",(($E118*$F118)+$G118+$H118)*(-1),IF($D118="S",($E118*$F118)-$G118-$H118))</f>
        <v>-27824.23125</v>
      </c>
      <c r="J118" s="9"/>
    </row>
    <row r="119" spans="3:9" ht="11.25">
      <c r="C119" s="3" t="s">
        <v>318</v>
      </c>
      <c r="D119" s="4" t="s">
        <v>230</v>
      </c>
      <c r="E119" s="20">
        <v>100</v>
      </c>
      <c r="F119" s="5">
        <v>105</v>
      </c>
      <c r="G119" s="5">
        <f t="shared" si="5"/>
        <v>26.25</v>
      </c>
      <c r="H119" s="5">
        <f>$G119*0.07</f>
        <v>1.8375000000000001</v>
      </c>
      <c r="I119" s="19">
        <f>IF($D119="B",(($E119*$F119)+$G119+$H119)*(-1),IF($D119="S",($E119*$F119)-$G119-$H119))</f>
        <v>10471.9125</v>
      </c>
    </row>
    <row r="120" spans="1:9" ht="12" thickBot="1">
      <c r="A120" s="6"/>
      <c r="B120" s="21"/>
      <c r="C120" s="6"/>
      <c r="D120" s="7"/>
      <c r="E120" s="22"/>
      <c r="F120" s="8"/>
      <c r="G120" s="8"/>
      <c r="H120" s="11" t="s">
        <v>26</v>
      </c>
      <c r="I120" s="11">
        <f>SUM(I114:I119)</f>
        <v>-3566.318750000004</v>
      </c>
    </row>
    <row r="121" spans="1:9" ht="11.25">
      <c r="A121" s="3" t="s">
        <v>237</v>
      </c>
      <c r="B121" s="17">
        <f>B114+1</f>
        <v>38009</v>
      </c>
      <c r="C121" s="90" t="s">
        <v>323</v>
      </c>
      <c r="D121" s="91" t="s">
        <v>231</v>
      </c>
      <c r="E121" s="92">
        <v>2200</v>
      </c>
      <c r="F121" s="93">
        <v>12.2</v>
      </c>
      <c r="G121" s="93">
        <f t="shared" si="5"/>
        <v>67.1</v>
      </c>
      <c r="H121" s="93">
        <f>$G121*0.07</f>
        <v>4.697</v>
      </c>
      <c r="I121" s="18">
        <f>IF($D121="B",(($E121*$F121)+$G121+$H121)*(-1),IF($D121="S",($E121*$F121)-$G121-$H121))</f>
        <v>-26911.797</v>
      </c>
    </row>
    <row r="122" spans="3:10" ht="11.25">
      <c r="C122" s="90" t="s">
        <v>323</v>
      </c>
      <c r="D122" s="91" t="s">
        <v>230</v>
      </c>
      <c r="E122" s="92">
        <v>2200</v>
      </c>
      <c r="F122" s="93">
        <v>12.5</v>
      </c>
      <c r="G122" s="93">
        <f t="shared" si="5"/>
        <v>68.75</v>
      </c>
      <c r="H122" s="93">
        <f>$G122*0.07</f>
        <v>4.812500000000001</v>
      </c>
      <c r="I122" s="18">
        <f>IF($D122="B",(($E122*$F122)+$G122+$H122)*(-1),IF($D122="S",($E122*$F122)-$G122-$H122))</f>
        <v>27426.4375</v>
      </c>
      <c r="J122" s="10">
        <f>SUM(I121:I122)</f>
        <v>514.6405000000013</v>
      </c>
    </row>
    <row r="123" spans="3:9" ht="11.25">
      <c r="C123" s="90" t="s">
        <v>323</v>
      </c>
      <c r="D123" s="91" t="s">
        <v>231</v>
      </c>
      <c r="E123" s="92">
        <v>4000</v>
      </c>
      <c r="F123" s="93">
        <v>12</v>
      </c>
      <c r="G123" s="93">
        <f t="shared" si="5"/>
        <v>120</v>
      </c>
      <c r="H123" s="93">
        <f>$G123*0.07</f>
        <v>8.4</v>
      </c>
      <c r="I123" s="18">
        <f>IF($D123="B",(($E123*$F123)+$G123+$H123)*(-1),IF($D123="S",($E123*$F123)-$G123-$H123))</f>
        <v>-48128.4</v>
      </c>
    </row>
    <row r="124" spans="3:9" ht="11.25">
      <c r="C124" s="3" t="s">
        <v>200</v>
      </c>
      <c r="D124" s="4" t="s">
        <v>231</v>
      </c>
      <c r="E124" s="20">
        <v>1000</v>
      </c>
      <c r="F124" s="5">
        <v>3.98</v>
      </c>
      <c r="G124" s="5">
        <f t="shared" si="5"/>
        <v>9.950000000000001</v>
      </c>
      <c r="H124" s="5">
        <f>$G124*0.07</f>
        <v>0.6965000000000001</v>
      </c>
      <c r="I124" s="19">
        <f>IF($D124="B",(($E124*$F124)+$G124+$H124)*(-1),IF($D124="S",($E124*$F124)-$G124-$H124))</f>
        <v>-3990.6465</v>
      </c>
    </row>
    <row r="125" spans="3:9" ht="11.25">
      <c r="C125" s="3" t="s">
        <v>322</v>
      </c>
      <c r="D125" s="4" t="s">
        <v>231</v>
      </c>
      <c r="E125" s="20">
        <v>7800</v>
      </c>
      <c r="F125" s="5">
        <v>3.74</v>
      </c>
      <c r="G125" s="5">
        <f t="shared" si="5"/>
        <v>72.93</v>
      </c>
      <c r="H125" s="5">
        <f>$G125*0.07</f>
        <v>5.105100000000001</v>
      </c>
      <c r="I125" s="19">
        <f>IF($D125="B",(($E125*$F125)+$G125+$H125)*(-1),IF($D125="S",($E125*$F125)-$G125-$H125))</f>
        <v>-29250.0351</v>
      </c>
    </row>
    <row r="126" spans="1:9" ht="12" thickBot="1">
      <c r="A126" s="6"/>
      <c r="B126" s="21"/>
      <c r="C126" s="6"/>
      <c r="D126" s="7"/>
      <c r="E126" s="22"/>
      <c r="F126" s="8"/>
      <c r="G126" s="8"/>
      <c r="H126" s="11" t="s">
        <v>13</v>
      </c>
      <c r="I126" s="11">
        <f>SUM(I121:I125)</f>
        <v>-80854.4411</v>
      </c>
    </row>
    <row r="127" spans="1:9" ht="11.25">
      <c r="A127" s="3" t="s">
        <v>229</v>
      </c>
      <c r="B127" s="17">
        <f>B121+3</f>
        <v>38012</v>
      </c>
      <c r="C127" s="3" t="s">
        <v>334</v>
      </c>
      <c r="D127" s="4" t="s">
        <v>231</v>
      </c>
      <c r="E127" s="20">
        <v>1000</v>
      </c>
      <c r="F127" s="5">
        <v>17.5</v>
      </c>
      <c r="G127" s="5">
        <f t="shared" si="5"/>
        <v>43.75</v>
      </c>
      <c r="H127" s="5">
        <f>$G127*0.07</f>
        <v>3.0625000000000004</v>
      </c>
      <c r="I127" s="19">
        <f>IF($D127="B",(($E127*$F127)+$G127+$H127)*(-1),IF($D127="S",($E127*$F127)-$G127-$H127))</f>
        <v>-17546.8125</v>
      </c>
    </row>
    <row r="128" spans="3:9" ht="11.25">
      <c r="C128" s="3" t="s">
        <v>322</v>
      </c>
      <c r="D128" s="4" t="s">
        <v>231</v>
      </c>
      <c r="E128" s="20">
        <v>4000</v>
      </c>
      <c r="F128" s="5">
        <v>3.72</v>
      </c>
      <c r="G128" s="5">
        <f t="shared" si="5"/>
        <v>37.2</v>
      </c>
      <c r="H128" s="5">
        <f>$G128*0.07</f>
        <v>2.6040000000000005</v>
      </c>
      <c r="I128" s="19">
        <f>IF($D128="B",(($E128*$F128)+$G128+$H128)*(-1),IF($D128="S",($E128*$F128)-$G128-$H128))</f>
        <v>-14919.804</v>
      </c>
    </row>
    <row r="129" spans="3:10" ht="11.25">
      <c r="C129" s="90" t="s">
        <v>323</v>
      </c>
      <c r="D129" s="91" t="s">
        <v>230</v>
      </c>
      <c r="E129" s="92">
        <v>4000</v>
      </c>
      <c r="F129" s="93">
        <v>12.4</v>
      </c>
      <c r="G129" s="93">
        <f t="shared" si="5"/>
        <v>124</v>
      </c>
      <c r="H129" s="93">
        <f>$G129*0.07</f>
        <v>8.680000000000001</v>
      </c>
      <c r="I129" s="18">
        <f>IF($D129="B",(($E129*$F129)+$G129+$H129)*(-1),IF($D129="S",($E129*$F129)-$G129-$H129))</f>
        <v>49467.32</v>
      </c>
      <c r="J129" s="10">
        <f>SUM(I129,I123)</f>
        <v>1338.9199999999983</v>
      </c>
    </row>
    <row r="130" spans="3:9" ht="11.25">
      <c r="C130" s="90" t="s">
        <v>323</v>
      </c>
      <c r="D130" s="91" t="s">
        <v>231</v>
      </c>
      <c r="E130" s="92">
        <v>3000</v>
      </c>
      <c r="F130" s="93">
        <v>12.5</v>
      </c>
      <c r="G130" s="93">
        <f t="shared" si="5"/>
        <v>93.75</v>
      </c>
      <c r="H130" s="93">
        <f>$G130*0.07</f>
        <v>6.562500000000001</v>
      </c>
      <c r="I130" s="18">
        <f>IF($D130="B",(($E130*$F130)+$G130+$H130)*(-1),IF($D130="S",($E130*$F130)-$G130-$H130))</f>
        <v>-37600.3125</v>
      </c>
    </row>
    <row r="131" spans="3:10" ht="11.25">
      <c r="C131" s="90" t="s">
        <v>323</v>
      </c>
      <c r="D131" s="91" t="s">
        <v>230</v>
      </c>
      <c r="E131" s="92">
        <v>3000</v>
      </c>
      <c r="F131" s="93">
        <v>12.4</v>
      </c>
      <c r="G131" s="93">
        <f t="shared" si="5"/>
        <v>93</v>
      </c>
      <c r="H131" s="93">
        <f>$G131*0.07</f>
        <v>6.510000000000001</v>
      </c>
      <c r="I131" s="18">
        <f>IF($D131="B",(($E131*$F131)+$G131+$H131)*(-1),IF($D131="S",($E131*$F131)-$G131-$H131))</f>
        <v>37100.49</v>
      </c>
      <c r="J131" s="13">
        <f>SUM(I130:I131)</f>
        <v>-499.82250000000204</v>
      </c>
    </row>
    <row r="132" spans="1:9" ht="12" thickBot="1">
      <c r="A132" s="6"/>
      <c r="B132" s="21"/>
      <c r="C132" s="6"/>
      <c r="D132" s="7"/>
      <c r="E132" s="22"/>
      <c r="F132" s="8"/>
      <c r="G132" s="8"/>
      <c r="H132" s="12" t="s">
        <v>26</v>
      </c>
      <c r="I132" s="12">
        <f>SUM(I127:I131)</f>
        <v>16500.880999999998</v>
      </c>
    </row>
    <row r="133" spans="1:9" ht="11.25">
      <c r="A133" s="3" t="s">
        <v>258</v>
      </c>
      <c r="B133" s="17">
        <v>38013</v>
      </c>
      <c r="C133" s="3" t="s">
        <v>334</v>
      </c>
      <c r="D133" s="4" t="s">
        <v>230</v>
      </c>
      <c r="E133" s="20">
        <v>1500</v>
      </c>
      <c r="F133" s="5">
        <v>17.6</v>
      </c>
      <c r="G133" s="5">
        <f t="shared" si="5"/>
        <v>66.00000000000001</v>
      </c>
      <c r="H133" s="5">
        <f aca="true" t="shared" si="6" ref="H133:H161">$G133*0.07</f>
        <v>4.620000000000001</v>
      </c>
      <c r="I133" s="19">
        <f aca="true" t="shared" si="7" ref="I133:I161">IF($D133="B",(($E133*$F133)+$G133+$H133)*(-1),IF($D133="S",($E133*$F133)-$G133-$H133))</f>
        <v>26329.380000000005</v>
      </c>
    </row>
    <row r="134" spans="3:9" ht="11.25">
      <c r="C134" s="3" t="s">
        <v>334</v>
      </c>
      <c r="D134" s="4" t="s">
        <v>231</v>
      </c>
      <c r="E134" s="20">
        <v>2000</v>
      </c>
      <c r="F134" s="5">
        <v>17.7</v>
      </c>
      <c r="G134" s="5">
        <f t="shared" si="5"/>
        <v>88.5</v>
      </c>
      <c r="H134" s="5">
        <f t="shared" si="6"/>
        <v>6.195</v>
      </c>
      <c r="I134" s="19">
        <f t="shared" si="7"/>
        <v>-35494.695</v>
      </c>
    </row>
    <row r="135" spans="3:9" ht="11.25">
      <c r="C135" s="90" t="s">
        <v>323</v>
      </c>
      <c r="D135" s="91" t="s">
        <v>231</v>
      </c>
      <c r="E135" s="92">
        <v>2000</v>
      </c>
      <c r="F135" s="93">
        <v>11.9</v>
      </c>
      <c r="G135" s="93">
        <f t="shared" si="5"/>
        <v>59.5</v>
      </c>
      <c r="H135" s="93">
        <f t="shared" si="6"/>
        <v>4.165</v>
      </c>
      <c r="I135" s="18">
        <f t="shared" si="7"/>
        <v>-23863.665</v>
      </c>
    </row>
    <row r="136" spans="3:9" ht="11.25">
      <c r="C136" s="3" t="s">
        <v>322</v>
      </c>
      <c r="D136" s="4" t="s">
        <v>230</v>
      </c>
      <c r="E136" s="20">
        <v>10000</v>
      </c>
      <c r="F136" s="5">
        <v>3.5</v>
      </c>
      <c r="G136" s="5">
        <f t="shared" si="5"/>
        <v>87.5</v>
      </c>
      <c r="H136" s="5">
        <f t="shared" si="6"/>
        <v>6.125000000000001</v>
      </c>
      <c r="I136" s="19">
        <f t="shared" si="7"/>
        <v>34906.375</v>
      </c>
    </row>
    <row r="137" spans="3:9" ht="11.25">
      <c r="C137" s="3" t="s">
        <v>200</v>
      </c>
      <c r="D137" s="4" t="s">
        <v>230</v>
      </c>
      <c r="E137" s="20">
        <v>7000</v>
      </c>
      <c r="F137" s="5">
        <v>3.84857</v>
      </c>
      <c r="G137" s="5">
        <f t="shared" si="5"/>
        <v>67.349975</v>
      </c>
      <c r="H137" s="5">
        <f t="shared" si="6"/>
        <v>4.71449825</v>
      </c>
      <c r="I137" s="19">
        <f t="shared" si="7"/>
        <v>26867.92552675</v>
      </c>
    </row>
    <row r="138" spans="3:10" ht="11.25">
      <c r="C138" s="90" t="s">
        <v>23</v>
      </c>
      <c r="D138" s="91" t="s">
        <v>230</v>
      </c>
      <c r="E138" s="92">
        <v>2000</v>
      </c>
      <c r="F138" s="93">
        <v>11</v>
      </c>
      <c r="G138" s="93">
        <f t="shared" si="5"/>
        <v>55</v>
      </c>
      <c r="H138" s="93">
        <f t="shared" si="6"/>
        <v>3.8500000000000005</v>
      </c>
      <c r="I138" s="18">
        <f t="shared" si="7"/>
        <v>21941.15</v>
      </c>
      <c r="J138" s="13">
        <f>SUM(I138,I101,I99)</f>
        <v>-1621.7124999999996</v>
      </c>
    </row>
    <row r="139" spans="1:9" ht="12" thickBot="1">
      <c r="A139" s="6"/>
      <c r="B139" s="21"/>
      <c r="C139" s="6"/>
      <c r="D139" s="7"/>
      <c r="E139" s="22"/>
      <c r="F139" s="8"/>
      <c r="G139" s="8"/>
      <c r="H139" s="12" t="s">
        <v>26</v>
      </c>
      <c r="I139" s="12">
        <f>SUM(I133:I138)</f>
        <v>50686.47052675001</v>
      </c>
    </row>
    <row r="140" spans="1:10" ht="11.25">
      <c r="A140" s="3" t="s">
        <v>233</v>
      </c>
      <c r="B140" s="17">
        <v>38014</v>
      </c>
      <c r="C140" s="90" t="s">
        <v>323</v>
      </c>
      <c r="D140" s="91" t="s">
        <v>230</v>
      </c>
      <c r="E140" s="92">
        <v>2000</v>
      </c>
      <c r="F140" s="93">
        <v>11.4</v>
      </c>
      <c r="G140" s="93">
        <f t="shared" si="5"/>
        <v>57</v>
      </c>
      <c r="H140" s="93">
        <f t="shared" si="6"/>
        <v>3.99</v>
      </c>
      <c r="I140" s="18">
        <f t="shared" si="7"/>
        <v>22739.01</v>
      </c>
      <c r="J140" s="13">
        <f>SUM(I140,I135)</f>
        <v>-1124.6550000000025</v>
      </c>
    </row>
    <row r="141" spans="3:9" ht="11.25">
      <c r="C141" s="3" t="s">
        <v>322</v>
      </c>
      <c r="D141" s="4" t="s">
        <v>231</v>
      </c>
      <c r="E141" s="20">
        <v>10000</v>
      </c>
      <c r="F141" s="5">
        <v>3.7</v>
      </c>
      <c r="G141" s="5">
        <f t="shared" si="5"/>
        <v>92.5</v>
      </c>
      <c r="H141" s="5">
        <f t="shared" si="6"/>
        <v>6.4750000000000005</v>
      </c>
      <c r="I141" s="19">
        <f t="shared" si="7"/>
        <v>-37098.975</v>
      </c>
    </row>
    <row r="142" spans="3:9" ht="11.25">
      <c r="C142" s="3" t="s">
        <v>322</v>
      </c>
      <c r="D142" s="4" t="s">
        <v>230</v>
      </c>
      <c r="E142" s="20">
        <v>5000</v>
      </c>
      <c r="F142" s="5">
        <v>3.62</v>
      </c>
      <c r="G142" s="5">
        <f t="shared" si="5"/>
        <v>45.25</v>
      </c>
      <c r="H142" s="5">
        <f t="shared" si="6"/>
        <v>3.1675000000000004</v>
      </c>
      <c r="I142" s="19">
        <f t="shared" si="7"/>
        <v>18051.5825</v>
      </c>
    </row>
    <row r="143" spans="3:9" ht="11.25">
      <c r="C143" s="3" t="s">
        <v>334</v>
      </c>
      <c r="D143" s="4" t="s">
        <v>230</v>
      </c>
      <c r="E143" s="20">
        <v>2000</v>
      </c>
      <c r="F143" s="5">
        <v>17.9</v>
      </c>
      <c r="G143" s="5">
        <f t="shared" si="5"/>
        <v>89.5</v>
      </c>
      <c r="H143" s="5">
        <f t="shared" si="6"/>
        <v>6.265000000000001</v>
      </c>
      <c r="I143" s="19">
        <f t="shared" si="7"/>
        <v>35704.235</v>
      </c>
    </row>
    <row r="144" spans="3:9" ht="11.25">
      <c r="C144" s="3" t="s">
        <v>334</v>
      </c>
      <c r="D144" s="4" t="s">
        <v>231</v>
      </c>
      <c r="E144" s="20">
        <v>1000</v>
      </c>
      <c r="F144" s="5">
        <v>18.3</v>
      </c>
      <c r="G144" s="5">
        <f t="shared" si="5"/>
        <v>45.75</v>
      </c>
      <c r="H144" s="5">
        <f t="shared" si="6"/>
        <v>3.2025</v>
      </c>
      <c r="I144" s="19">
        <f t="shared" si="7"/>
        <v>-18348.9525</v>
      </c>
    </row>
    <row r="145" spans="3:9" ht="11.25">
      <c r="C145" s="3" t="s">
        <v>200</v>
      </c>
      <c r="D145" s="4" t="s">
        <v>231</v>
      </c>
      <c r="E145" s="20">
        <v>5000</v>
      </c>
      <c r="F145" s="5">
        <v>3.84</v>
      </c>
      <c r="G145" s="5">
        <f t="shared" si="5"/>
        <v>48</v>
      </c>
      <c r="H145" s="5">
        <f t="shared" si="6"/>
        <v>3.3600000000000003</v>
      </c>
      <c r="I145" s="19">
        <f t="shared" si="7"/>
        <v>-19251.36</v>
      </c>
    </row>
    <row r="146" spans="1:9" ht="12" thickBot="1">
      <c r="A146" s="6"/>
      <c r="B146" s="21"/>
      <c r="C146" s="6"/>
      <c r="D146" s="7"/>
      <c r="E146" s="22"/>
      <c r="F146" s="8"/>
      <c r="G146" s="8"/>
      <c r="H146" s="12" t="s">
        <v>26</v>
      </c>
      <c r="I146" s="12">
        <f>SUM(I140:I145)</f>
        <v>1795.5400000000009</v>
      </c>
    </row>
    <row r="147" spans="1:9" ht="11.25">
      <c r="A147" s="3" t="s">
        <v>235</v>
      </c>
      <c r="B147" s="17">
        <v>38015</v>
      </c>
      <c r="C147" s="3" t="s">
        <v>334</v>
      </c>
      <c r="D147" s="4" t="s">
        <v>230</v>
      </c>
      <c r="E147" s="20">
        <v>2000</v>
      </c>
      <c r="F147" s="5">
        <v>17.9</v>
      </c>
      <c r="G147" s="5">
        <f t="shared" si="5"/>
        <v>89.5</v>
      </c>
      <c r="H147" s="5">
        <f t="shared" si="6"/>
        <v>6.265000000000001</v>
      </c>
      <c r="I147" s="19">
        <f t="shared" si="7"/>
        <v>35704.235</v>
      </c>
    </row>
    <row r="148" spans="3:10" ht="11.25">
      <c r="C148" s="3" t="s">
        <v>334</v>
      </c>
      <c r="D148" s="4" t="s">
        <v>231</v>
      </c>
      <c r="E148" s="20">
        <v>2000</v>
      </c>
      <c r="F148" s="5">
        <v>17.7</v>
      </c>
      <c r="G148" s="5">
        <f t="shared" si="5"/>
        <v>88.5</v>
      </c>
      <c r="H148" s="5">
        <f t="shared" si="6"/>
        <v>6.195</v>
      </c>
      <c r="I148" s="19">
        <f t="shared" si="7"/>
        <v>-35494.695</v>
      </c>
      <c r="J148" s="9"/>
    </row>
    <row r="149" spans="3:9" ht="11.25">
      <c r="C149" s="3" t="s">
        <v>200</v>
      </c>
      <c r="D149" s="4" t="s">
        <v>231</v>
      </c>
      <c r="E149" s="20">
        <v>2000</v>
      </c>
      <c r="F149" s="5">
        <v>3.74</v>
      </c>
      <c r="G149" s="5">
        <f t="shared" si="5"/>
        <v>18.7</v>
      </c>
      <c r="H149" s="5">
        <f t="shared" si="6"/>
        <v>1.3090000000000002</v>
      </c>
      <c r="I149" s="19">
        <f t="shared" si="7"/>
        <v>-7500.009</v>
      </c>
    </row>
    <row r="150" spans="3:9" ht="11.25">
      <c r="C150" s="3" t="s">
        <v>200</v>
      </c>
      <c r="D150" s="4" t="s">
        <v>231</v>
      </c>
      <c r="E150" s="20">
        <v>1000</v>
      </c>
      <c r="F150" s="5">
        <v>3.76</v>
      </c>
      <c r="G150" s="5">
        <f t="shared" si="5"/>
        <v>9.4</v>
      </c>
      <c r="H150" s="5">
        <f t="shared" si="6"/>
        <v>0.6580000000000001</v>
      </c>
      <c r="I150" s="19">
        <f t="shared" si="7"/>
        <v>-3770.058</v>
      </c>
    </row>
    <row r="151" spans="3:9" ht="11.25">
      <c r="C151" s="3" t="s">
        <v>200</v>
      </c>
      <c r="D151" s="4" t="s">
        <v>231</v>
      </c>
      <c r="E151" s="20">
        <v>2000</v>
      </c>
      <c r="F151" s="5">
        <v>3.7</v>
      </c>
      <c r="G151" s="5">
        <f t="shared" si="5"/>
        <v>18.5</v>
      </c>
      <c r="H151" s="5">
        <f t="shared" si="6"/>
        <v>1.2950000000000002</v>
      </c>
      <c r="I151" s="19">
        <f t="shared" si="7"/>
        <v>-7419.795</v>
      </c>
    </row>
    <row r="152" spans="3:9" ht="11.25">
      <c r="C152" s="3" t="s">
        <v>200</v>
      </c>
      <c r="D152" s="4" t="s">
        <v>231</v>
      </c>
      <c r="E152" s="20">
        <v>1000</v>
      </c>
      <c r="F152" s="5">
        <v>3.64</v>
      </c>
      <c r="G152" s="5">
        <f t="shared" si="5"/>
        <v>9.1</v>
      </c>
      <c r="H152" s="5">
        <f t="shared" si="6"/>
        <v>0.637</v>
      </c>
      <c r="I152" s="19">
        <f t="shared" si="7"/>
        <v>-3649.737</v>
      </c>
    </row>
    <row r="153" spans="3:9" ht="11.25">
      <c r="C153" s="3" t="s">
        <v>200</v>
      </c>
      <c r="D153" s="4" t="s">
        <v>231</v>
      </c>
      <c r="E153" s="20">
        <v>1000</v>
      </c>
      <c r="F153" s="5">
        <v>3.62</v>
      </c>
      <c r="G153" s="5">
        <f t="shared" si="5"/>
        <v>9.05</v>
      </c>
      <c r="H153" s="5">
        <f t="shared" si="6"/>
        <v>0.6335000000000001</v>
      </c>
      <c r="I153" s="19">
        <f t="shared" si="7"/>
        <v>-3629.6835</v>
      </c>
    </row>
    <row r="154" spans="3:9" ht="11.25">
      <c r="C154" s="3" t="s">
        <v>322</v>
      </c>
      <c r="D154" s="4" t="s">
        <v>230</v>
      </c>
      <c r="E154" s="20">
        <v>3800</v>
      </c>
      <c r="F154" s="5">
        <v>3.42</v>
      </c>
      <c r="G154" s="5">
        <f t="shared" si="5"/>
        <v>32.49</v>
      </c>
      <c r="H154" s="5">
        <f t="shared" si="6"/>
        <v>2.2743</v>
      </c>
      <c r="I154" s="5">
        <f t="shared" si="7"/>
        <v>12961.235700000001</v>
      </c>
    </row>
    <row r="155" spans="1:9" ht="12" thickBot="1">
      <c r="A155" s="6"/>
      <c r="B155" s="21"/>
      <c r="C155" s="6"/>
      <c r="D155" s="7"/>
      <c r="E155" s="22"/>
      <c r="F155" s="8"/>
      <c r="G155" s="8"/>
      <c r="H155" s="11" t="s">
        <v>13</v>
      </c>
      <c r="I155" s="11">
        <f>SUM(I147:I154)</f>
        <v>-12798.5068</v>
      </c>
    </row>
    <row r="156" spans="1:9" ht="11.25">
      <c r="A156" s="3" t="s">
        <v>237</v>
      </c>
      <c r="B156" s="17">
        <v>38016</v>
      </c>
      <c r="C156" s="3" t="s">
        <v>200</v>
      </c>
      <c r="D156" s="4" t="s">
        <v>231</v>
      </c>
      <c r="E156" s="20">
        <v>5000</v>
      </c>
      <c r="F156" s="5">
        <v>3.5</v>
      </c>
      <c r="G156" s="5">
        <f t="shared" si="5"/>
        <v>43.75</v>
      </c>
      <c r="H156" s="5">
        <f t="shared" si="6"/>
        <v>3.0625000000000004</v>
      </c>
      <c r="I156" s="5">
        <f t="shared" si="7"/>
        <v>-17546.8125</v>
      </c>
    </row>
    <row r="157" spans="3:9" ht="11.25">
      <c r="C157" s="3" t="s">
        <v>334</v>
      </c>
      <c r="D157" s="4" t="s">
        <v>230</v>
      </c>
      <c r="E157" s="20">
        <v>1000</v>
      </c>
      <c r="F157" s="5">
        <v>17</v>
      </c>
      <c r="G157" s="5">
        <f>(($E157*$F157)*0.0025)</f>
        <v>42.5</v>
      </c>
      <c r="H157" s="5">
        <f t="shared" si="6"/>
        <v>2.975</v>
      </c>
      <c r="I157" s="5">
        <f t="shared" si="7"/>
        <v>16954.525</v>
      </c>
    </row>
    <row r="158" spans="3:9" ht="11.25">
      <c r="C158" s="3" t="s">
        <v>322</v>
      </c>
      <c r="D158" s="4" t="s">
        <v>230</v>
      </c>
      <c r="E158" s="20">
        <v>2000</v>
      </c>
      <c r="F158" s="5">
        <v>3.3</v>
      </c>
      <c r="G158" s="5">
        <f>(($E158*$F158)*0.0025)</f>
        <v>16.5</v>
      </c>
      <c r="H158" s="5">
        <f t="shared" si="6"/>
        <v>1.155</v>
      </c>
      <c r="I158" s="5">
        <f t="shared" si="7"/>
        <v>6582.345</v>
      </c>
    </row>
    <row r="159" spans="1:9" ht="12" thickBot="1">
      <c r="A159" s="6"/>
      <c r="B159" s="21"/>
      <c r="C159" s="6"/>
      <c r="D159" s="7"/>
      <c r="E159" s="22"/>
      <c r="F159" s="8"/>
      <c r="G159" s="8"/>
      <c r="H159" s="12" t="s">
        <v>26</v>
      </c>
      <c r="I159" s="12">
        <f>SUM(I156:I158)</f>
        <v>5990.057500000002</v>
      </c>
    </row>
    <row r="160" spans="1:12" ht="11.25">
      <c r="A160" s="3" t="s">
        <v>229</v>
      </c>
      <c r="B160" s="17">
        <v>38019</v>
      </c>
      <c r="C160" s="90" t="s">
        <v>337</v>
      </c>
      <c r="D160" s="91" t="s">
        <v>230</v>
      </c>
      <c r="E160" s="92">
        <v>1000</v>
      </c>
      <c r="F160" s="93">
        <v>13.2</v>
      </c>
      <c r="G160" s="93">
        <f>(($E160*$F160)*0.0025)+13.643109540636</f>
        <v>46.643109540636004</v>
      </c>
      <c r="H160" s="93">
        <f t="shared" si="6"/>
        <v>3.2650176678445204</v>
      </c>
      <c r="I160" s="93">
        <f t="shared" si="7"/>
        <v>13150.09187279152</v>
      </c>
      <c r="J160" s="13">
        <f>SUM(I160,I114)</f>
        <v>-1288.4281272084809</v>
      </c>
      <c r="L160" s="9"/>
    </row>
    <row r="161" spans="3:12" ht="11.25">
      <c r="C161" s="3" t="s">
        <v>334</v>
      </c>
      <c r="D161" s="4" t="s">
        <v>230</v>
      </c>
      <c r="E161" s="20">
        <v>1000</v>
      </c>
      <c r="F161" s="5">
        <v>15.1</v>
      </c>
      <c r="G161" s="5">
        <f>(($E161*$F161)*0.0025)+15.606890459364</f>
        <v>53.356890459363996</v>
      </c>
      <c r="H161" s="5">
        <f t="shared" si="6"/>
        <v>3.73498233215548</v>
      </c>
      <c r="I161" s="5">
        <f t="shared" si="7"/>
        <v>15042.90812720848</v>
      </c>
      <c r="L161" s="9"/>
    </row>
    <row r="162" spans="1:9" ht="12" thickBot="1">
      <c r="A162" s="6"/>
      <c r="B162" s="21"/>
      <c r="C162" s="6"/>
      <c r="D162" s="7"/>
      <c r="E162" s="22"/>
      <c r="F162" s="8"/>
      <c r="G162" s="8"/>
      <c r="H162" s="12" t="s">
        <v>26</v>
      </c>
      <c r="I162" s="12">
        <f>SUM(I160:I161)</f>
        <v>28193</v>
      </c>
    </row>
  </sheetData>
  <mergeCells count="1">
    <mergeCell ref="A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134">
      <selection activeCell="F158" sqref="F158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60"/>
      <c r="B1" s="75"/>
      <c r="C1" s="75"/>
      <c r="D1" s="75"/>
      <c r="E1" s="76"/>
      <c r="F1" s="63"/>
      <c r="G1" s="77" t="s">
        <v>229</v>
      </c>
      <c r="H1" s="112">
        <v>37984</v>
      </c>
      <c r="I1" s="112"/>
      <c r="J1" s="112"/>
      <c r="K1" s="60"/>
      <c r="L1" s="60"/>
      <c r="M1" s="60"/>
      <c r="N1" s="60"/>
      <c r="O1" s="60"/>
    </row>
    <row r="2" spans="1:15" ht="11.25">
      <c r="A2" s="61"/>
      <c r="B2" s="113" t="s">
        <v>250</v>
      </c>
      <c r="C2" s="113"/>
      <c r="D2" s="113"/>
      <c r="E2" s="113"/>
      <c r="F2" s="113"/>
      <c r="G2" s="113"/>
      <c r="H2" s="113"/>
      <c r="I2" s="64"/>
      <c r="J2" s="68" t="s">
        <v>252</v>
      </c>
      <c r="K2" s="68"/>
      <c r="L2" s="47">
        <v>15924.678984803882</v>
      </c>
      <c r="M2" s="72"/>
      <c r="N2" s="73"/>
      <c r="O2" s="61"/>
    </row>
    <row r="3" spans="1:15" ht="11.25">
      <c r="A3" s="60"/>
      <c r="B3" s="45" t="s">
        <v>2</v>
      </c>
      <c r="C3" s="45" t="s">
        <v>4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240</v>
      </c>
      <c r="I3" s="63"/>
      <c r="J3" s="68" t="s">
        <v>255</v>
      </c>
      <c r="K3" s="68"/>
      <c r="L3" s="81">
        <v>0</v>
      </c>
      <c r="M3" s="59" t="s">
        <v>251</v>
      </c>
      <c r="N3" s="83">
        <v>0</v>
      </c>
      <c r="O3" s="60"/>
    </row>
    <row r="4" spans="1:15" ht="11.25">
      <c r="A4" s="60"/>
      <c r="B4" s="46" t="s">
        <v>208</v>
      </c>
      <c r="C4" s="47">
        <v>300</v>
      </c>
      <c r="D4" s="48">
        <v>28.5</v>
      </c>
      <c r="E4" s="48">
        <v>29.25</v>
      </c>
      <c r="F4" s="48">
        <f aca="true" t="shared" si="0" ref="F4:F11">$C4*$E4</f>
        <v>8775</v>
      </c>
      <c r="G4" s="49">
        <f>$F4/$F19</f>
        <v>0.030554757834085063</v>
      </c>
      <c r="H4" s="48">
        <f aca="true" t="shared" si="1" ref="H4:H11">$F4-($C4*$D4)</f>
        <v>225</v>
      </c>
      <c r="I4" s="65"/>
      <c r="J4" s="68" t="s">
        <v>256</v>
      </c>
      <c r="K4" s="68"/>
      <c r="L4" s="81">
        <v>0</v>
      </c>
      <c r="M4" s="59" t="s">
        <v>251</v>
      </c>
      <c r="N4" s="97">
        <v>0</v>
      </c>
      <c r="O4" s="60"/>
    </row>
    <row r="5" spans="1:15" ht="11.25">
      <c r="A5" s="60"/>
      <c r="B5" s="46" t="s">
        <v>310</v>
      </c>
      <c r="C5" s="47">
        <v>1500</v>
      </c>
      <c r="D5" s="48">
        <v>14</v>
      </c>
      <c r="E5" s="48">
        <v>8.85</v>
      </c>
      <c r="F5" s="48">
        <f t="shared" si="0"/>
        <v>13275</v>
      </c>
      <c r="G5" s="49">
        <f>$F5/$F19</f>
        <v>0.04622386441566715</v>
      </c>
      <c r="H5" s="48">
        <f t="shared" si="1"/>
        <v>-7725</v>
      </c>
      <c r="I5" s="63"/>
      <c r="J5" s="78" t="s">
        <v>275</v>
      </c>
      <c r="K5" s="79"/>
      <c r="L5" s="82">
        <f>$L2-$L3+$L4</f>
        <v>15924.678984803882</v>
      </c>
      <c r="M5" s="60"/>
      <c r="N5" s="60"/>
      <c r="O5" s="60"/>
    </row>
    <row r="6" spans="1:15" ht="11.25">
      <c r="A6" s="60"/>
      <c r="B6" s="46" t="s">
        <v>259</v>
      </c>
      <c r="C6" s="47">
        <v>1100</v>
      </c>
      <c r="D6" s="48">
        <v>45.2</v>
      </c>
      <c r="E6" s="48">
        <v>42.25</v>
      </c>
      <c r="F6" s="48">
        <f t="shared" si="0"/>
        <v>46475</v>
      </c>
      <c r="G6" s="49">
        <f>$F6/$F19</f>
        <v>0.16182705075089496</v>
      </c>
      <c r="H6" s="48">
        <f t="shared" si="1"/>
        <v>-3245</v>
      </c>
      <c r="I6" s="65"/>
      <c r="J6" s="114" t="s">
        <v>24</v>
      </c>
      <c r="K6" s="114"/>
      <c r="L6" s="84">
        <f>$F19/$L5</f>
        <v>18.034229523784916</v>
      </c>
      <c r="M6" s="60"/>
      <c r="N6" s="60"/>
      <c r="O6" s="60"/>
    </row>
    <row r="7" spans="1:15" ht="11.25">
      <c r="A7" s="60"/>
      <c r="B7" s="46" t="s">
        <v>318</v>
      </c>
      <c r="C7" s="47">
        <v>300</v>
      </c>
      <c r="D7" s="48">
        <v>103.3</v>
      </c>
      <c r="E7" s="48">
        <v>104</v>
      </c>
      <c r="F7" s="48">
        <f t="shared" si="0"/>
        <v>31200</v>
      </c>
      <c r="G7" s="49">
        <f>$F7/$F19</f>
        <v>0.10863913896563579</v>
      </c>
      <c r="H7" s="48">
        <f t="shared" si="1"/>
        <v>210</v>
      </c>
      <c r="I7" s="63"/>
      <c r="J7" s="115" t="s">
        <v>241</v>
      </c>
      <c r="K7" s="115"/>
      <c r="L7" s="115"/>
      <c r="M7" s="60"/>
      <c r="N7" s="60"/>
      <c r="O7" s="60"/>
    </row>
    <row r="8" spans="1:15" ht="11.25">
      <c r="A8" s="60"/>
      <c r="B8" s="46" t="s">
        <v>322</v>
      </c>
      <c r="C8" s="47">
        <v>7000</v>
      </c>
      <c r="D8" s="48">
        <v>4</v>
      </c>
      <c r="E8" s="48">
        <v>3.88</v>
      </c>
      <c r="F8" s="48">
        <f t="shared" si="0"/>
        <v>27160</v>
      </c>
      <c r="G8" s="49">
        <f>$F8/$F19</f>
        <v>0.09457176327905986</v>
      </c>
      <c r="H8" s="48">
        <f t="shared" si="1"/>
        <v>-840</v>
      </c>
      <c r="I8" s="63"/>
      <c r="J8" s="69" t="s">
        <v>246</v>
      </c>
      <c r="K8" s="70"/>
      <c r="L8" s="100">
        <v>2546.5050000000965</v>
      </c>
      <c r="M8" s="60"/>
      <c r="N8" s="60"/>
      <c r="O8" s="60"/>
    </row>
    <row r="9" spans="1:15" ht="11.25">
      <c r="A9" s="60"/>
      <c r="B9" s="46" t="s">
        <v>200</v>
      </c>
      <c r="C9" s="47">
        <v>2000</v>
      </c>
      <c r="D9" s="48">
        <v>4.7</v>
      </c>
      <c r="E9" s="48">
        <v>4.02</v>
      </c>
      <c r="F9" s="48">
        <f t="shared" si="0"/>
        <v>8039.999999999999</v>
      </c>
      <c r="G9" s="49">
        <f>$F9/$F19</f>
        <v>0.027995470425759988</v>
      </c>
      <c r="H9" s="48">
        <f t="shared" si="1"/>
        <v>-1360.000000000001</v>
      </c>
      <c r="I9" s="65"/>
      <c r="J9" s="109" t="s">
        <v>244</v>
      </c>
      <c r="K9" s="109"/>
      <c r="L9" s="80">
        <v>-2000</v>
      </c>
      <c r="M9" s="60"/>
      <c r="N9" s="60"/>
      <c r="O9" s="60"/>
    </row>
    <row r="10" spans="1:15" ht="11.25">
      <c r="A10" s="60"/>
      <c r="B10" s="46" t="s">
        <v>238</v>
      </c>
      <c r="C10" s="47">
        <v>500</v>
      </c>
      <c r="D10" s="48">
        <v>38.7</v>
      </c>
      <c r="E10" s="48">
        <v>32.5</v>
      </c>
      <c r="F10" s="48">
        <f t="shared" si="0"/>
        <v>16250</v>
      </c>
      <c r="G10" s="49">
        <f>$F10/$F19</f>
        <v>0.0565828848779353</v>
      </c>
      <c r="H10" s="48">
        <f t="shared" si="1"/>
        <v>-3100</v>
      </c>
      <c r="I10" s="63"/>
      <c r="J10" s="109" t="s">
        <v>245</v>
      </c>
      <c r="K10" s="109"/>
      <c r="L10" s="80">
        <v>0</v>
      </c>
      <c r="M10" s="60"/>
      <c r="N10" s="60"/>
      <c r="O10" s="60"/>
    </row>
    <row r="11" spans="1:15" ht="11.25">
      <c r="A11" s="60"/>
      <c r="B11" s="46" t="s">
        <v>315</v>
      </c>
      <c r="C11" s="47">
        <v>7000</v>
      </c>
      <c r="D11" s="48">
        <v>6.7</v>
      </c>
      <c r="E11" s="48">
        <v>6.8</v>
      </c>
      <c r="F11" s="48">
        <f t="shared" si="0"/>
        <v>47600</v>
      </c>
      <c r="G11" s="49">
        <f>$F11/$F19</f>
        <v>0.1657443273962905</v>
      </c>
      <c r="H11" s="48">
        <f t="shared" si="1"/>
        <v>700</v>
      </c>
      <c r="I11" s="65"/>
      <c r="J11" s="108" t="s">
        <v>253</v>
      </c>
      <c r="K11" s="108"/>
      <c r="L11" s="87">
        <f>$L3*$N3</f>
        <v>0</v>
      </c>
      <c r="M11" s="60"/>
      <c r="N11" s="58"/>
      <c r="O11" s="60"/>
    </row>
    <row r="12" spans="1:15" ht="11.25">
      <c r="A12" s="60"/>
      <c r="B12" s="111" t="s">
        <v>25</v>
      </c>
      <c r="C12" s="111"/>
      <c r="D12" s="111"/>
      <c r="E12" s="50"/>
      <c r="F12" s="50">
        <f>SUM($F4:$F11)</f>
        <v>198775</v>
      </c>
      <c r="G12" s="51">
        <f>SUM($G4:$G11)</f>
        <v>0.6921392579453287</v>
      </c>
      <c r="H12" s="48">
        <f>SUM(H4:H11)</f>
        <v>-15135</v>
      </c>
      <c r="I12" s="63"/>
      <c r="J12" s="109" t="s">
        <v>249</v>
      </c>
      <c r="K12" s="109"/>
      <c r="L12" s="80">
        <v>0</v>
      </c>
      <c r="M12" s="71"/>
      <c r="N12" s="60"/>
      <c r="O12" s="60"/>
    </row>
    <row r="13" spans="1:15" ht="11.25">
      <c r="A13" s="60"/>
      <c r="B13" s="104" t="s">
        <v>242</v>
      </c>
      <c r="C13" s="104"/>
      <c r="D13" s="48"/>
      <c r="E13" s="48"/>
      <c r="F13" s="48">
        <v>88414.31590454742</v>
      </c>
      <c r="G13" s="62"/>
      <c r="H13" s="62"/>
      <c r="I13" s="63"/>
      <c r="J13" s="108" t="s">
        <v>254</v>
      </c>
      <c r="K13" s="108"/>
      <c r="L13" s="87">
        <v>0</v>
      </c>
      <c r="M13" s="60"/>
      <c r="N13" s="94"/>
      <c r="O13" s="60"/>
    </row>
    <row r="14" spans="1:15" ht="11.25">
      <c r="A14" s="60"/>
      <c r="B14" s="52" t="s">
        <v>13</v>
      </c>
      <c r="C14" s="52"/>
      <c r="D14" s="48"/>
      <c r="E14" s="48"/>
      <c r="F14" s="48">
        <v>0</v>
      </c>
      <c r="G14" s="62"/>
      <c r="H14" s="62"/>
      <c r="I14" s="63"/>
      <c r="J14" s="109" t="s">
        <v>248</v>
      </c>
      <c r="K14" s="109"/>
      <c r="L14" s="80">
        <v>0</v>
      </c>
      <c r="M14" s="60"/>
      <c r="N14" s="60"/>
      <c r="O14" s="60"/>
    </row>
    <row r="15" spans="1:15" ht="11.25">
      <c r="A15" s="60"/>
      <c r="B15" s="104" t="s">
        <v>26</v>
      </c>
      <c r="C15" s="104"/>
      <c r="D15" s="48"/>
      <c r="E15" s="48"/>
      <c r="F15" s="48">
        <v>0</v>
      </c>
      <c r="G15" s="62"/>
      <c r="H15" s="62">
        <f>SUM(F15:G15)</f>
        <v>0</v>
      </c>
      <c r="I15" s="63"/>
      <c r="J15" s="110" t="s">
        <v>247</v>
      </c>
      <c r="K15" s="110"/>
      <c r="L15" s="86">
        <f>SUM(L8:L10,L12,L14)</f>
        <v>546.5050000000965</v>
      </c>
      <c r="M15" s="60"/>
      <c r="N15" s="60"/>
      <c r="O15" s="60"/>
    </row>
    <row r="16" spans="1:15" ht="11.25">
      <c r="A16" s="60"/>
      <c r="B16" s="52" t="s">
        <v>102</v>
      </c>
      <c r="C16" s="52"/>
      <c r="D16" s="48"/>
      <c r="E16" s="48"/>
      <c r="F16" s="48">
        <v>0</v>
      </c>
      <c r="G16" s="62"/>
      <c r="H16" s="62"/>
      <c r="I16" s="63"/>
      <c r="J16" s="55" t="s">
        <v>203</v>
      </c>
      <c r="K16" s="55"/>
      <c r="L16" s="50">
        <v>161339.5593777974</v>
      </c>
      <c r="M16" s="60"/>
      <c r="N16" s="60"/>
      <c r="O16" s="60"/>
    </row>
    <row r="17" spans="1:15" ht="11.25">
      <c r="A17" s="60"/>
      <c r="B17" s="104" t="s">
        <v>89</v>
      </c>
      <c r="C17" s="104"/>
      <c r="D17" s="48"/>
      <c r="E17" s="48"/>
      <c r="F17" s="48">
        <v>0</v>
      </c>
      <c r="G17" s="62"/>
      <c r="H17" s="62"/>
      <c r="I17" s="63"/>
      <c r="J17" s="98" t="s">
        <v>118</v>
      </c>
      <c r="K17" s="98"/>
      <c r="L17" s="99">
        <f>SUM($L15:$L16)</f>
        <v>161886.0643777975</v>
      </c>
      <c r="M17" s="60"/>
      <c r="N17" s="60"/>
      <c r="O17" s="60"/>
    </row>
    <row r="18" spans="1:15" ht="13.5">
      <c r="A18" s="60"/>
      <c r="B18" s="105" t="s">
        <v>243</v>
      </c>
      <c r="C18" s="105"/>
      <c r="D18" s="105"/>
      <c r="E18" s="53"/>
      <c r="F18" s="50">
        <f>SUM($F13:$F17)</f>
        <v>88414.31590454742</v>
      </c>
      <c r="G18" s="51">
        <f>$F18/$F19</f>
        <v>0.30786074205467145</v>
      </c>
      <c r="H18" s="57">
        <v>37991</v>
      </c>
      <c r="I18" s="63"/>
      <c r="J18" s="106" t="s">
        <v>117</v>
      </c>
      <c r="K18" s="106"/>
      <c r="L18" s="85">
        <f>$F19+$L15+$L11+$L13</f>
        <v>287735.8209045475</v>
      </c>
      <c r="M18" s="60"/>
      <c r="N18" s="60"/>
      <c r="O18" s="60"/>
    </row>
    <row r="19" spans="1:15" ht="13.5">
      <c r="A19" s="60"/>
      <c r="B19" s="107" t="s">
        <v>15</v>
      </c>
      <c r="C19" s="107"/>
      <c r="D19" s="107"/>
      <c r="E19" s="54"/>
      <c r="F19" s="74">
        <f>SUM($F12,$F18)</f>
        <v>287189.3159045474</v>
      </c>
      <c r="G19" s="56">
        <f>SUM($G12,$G18)</f>
        <v>1.0000000000000002</v>
      </c>
      <c r="H19" s="66"/>
      <c r="I19" s="63"/>
      <c r="J19" s="60"/>
      <c r="K19" s="60"/>
      <c r="L19" s="60"/>
      <c r="M19" s="60"/>
      <c r="N19" s="60"/>
      <c r="O19" s="60"/>
    </row>
    <row r="20" spans="1:15" ht="11.25">
      <c r="A20" s="60"/>
      <c r="B20" s="60"/>
      <c r="C20" s="60"/>
      <c r="D20" s="60"/>
      <c r="E20" s="60"/>
      <c r="F20" s="60"/>
      <c r="G20" s="66"/>
      <c r="H20" s="67"/>
      <c r="I20" s="63"/>
      <c r="J20" s="60"/>
      <c r="K20" s="60"/>
      <c r="L20" s="60"/>
      <c r="M20" s="60"/>
      <c r="N20" s="60"/>
      <c r="O20" s="60"/>
    </row>
    <row r="21" spans="1:15" ht="15.75">
      <c r="A21" s="60"/>
      <c r="B21" s="75"/>
      <c r="C21" s="75"/>
      <c r="D21" s="75"/>
      <c r="E21" s="76"/>
      <c r="F21" s="63"/>
      <c r="G21" s="77" t="s">
        <v>258</v>
      </c>
      <c r="H21" s="112">
        <v>37985</v>
      </c>
      <c r="I21" s="112"/>
      <c r="J21" s="112"/>
      <c r="K21" s="60"/>
      <c r="L21" s="60"/>
      <c r="M21" s="60"/>
      <c r="N21" s="60"/>
      <c r="O21" s="60"/>
    </row>
    <row r="22" spans="1:15" ht="11.25">
      <c r="A22" s="61"/>
      <c r="B22" s="113" t="s">
        <v>250</v>
      </c>
      <c r="C22" s="113"/>
      <c r="D22" s="113"/>
      <c r="E22" s="113"/>
      <c r="F22" s="113"/>
      <c r="G22" s="113"/>
      <c r="H22" s="113"/>
      <c r="I22" s="64"/>
      <c r="J22" s="68" t="s">
        <v>252</v>
      </c>
      <c r="K22" s="68"/>
      <c r="L22" s="47">
        <v>15924.678984803882</v>
      </c>
      <c r="M22" s="72"/>
      <c r="N22" s="73"/>
      <c r="O22" s="61"/>
    </row>
    <row r="23" spans="1:15" ht="11.25">
      <c r="A23" s="60"/>
      <c r="B23" s="45" t="s">
        <v>2</v>
      </c>
      <c r="C23" s="45" t="s">
        <v>4</v>
      </c>
      <c r="D23" s="45" t="s">
        <v>9</v>
      </c>
      <c r="E23" s="45" t="s">
        <v>10</v>
      </c>
      <c r="F23" s="45" t="s">
        <v>11</v>
      </c>
      <c r="G23" s="45" t="s">
        <v>12</v>
      </c>
      <c r="H23" s="45" t="s">
        <v>240</v>
      </c>
      <c r="I23" s="63"/>
      <c r="J23" s="68" t="s">
        <v>255</v>
      </c>
      <c r="K23" s="68"/>
      <c r="L23" s="81">
        <v>0</v>
      </c>
      <c r="M23" s="59" t="s">
        <v>251</v>
      </c>
      <c r="N23" s="83">
        <v>0</v>
      </c>
      <c r="O23" s="60"/>
    </row>
    <row r="24" spans="1:15" ht="11.25">
      <c r="A24" s="60"/>
      <c r="B24" s="46" t="s">
        <v>208</v>
      </c>
      <c r="C24" s="47">
        <v>300</v>
      </c>
      <c r="D24" s="48">
        <v>28.5</v>
      </c>
      <c r="E24" s="48">
        <v>29.25</v>
      </c>
      <c r="F24" s="48">
        <f aca="true" t="shared" si="2" ref="F24:F31">$C24*$E24</f>
        <v>8775</v>
      </c>
      <c r="G24" s="49">
        <f>$F24/$F39</f>
        <v>0.030380169005918296</v>
      </c>
      <c r="H24" s="48">
        <f aca="true" t="shared" si="3" ref="H24:H31">$F24-($C24*$D24)</f>
        <v>225</v>
      </c>
      <c r="I24" s="65"/>
      <c r="J24" s="68" t="s">
        <v>256</v>
      </c>
      <c r="K24" s="68"/>
      <c r="L24" s="81">
        <v>0</v>
      </c>
      <c r="M24" s="59" t="s">
        <v>251</v>
      </c>
      <c r="N24" s="97">
        <v>0</v>
      </c>
      <c r="O24" s="60"/>
    </row>
    <row r="25" spans="1:15" ht="11.25">
      <c r="A25" s="60"/>
      <c r="B25" s="46" t="s">
        <v>310</v>
      </c>
      <c r="C25" s="47">
        <v>1500</v>
      </c>
      <c r="D25" s="48">
        <v>14</v>
      </c>
      <c r="E25" s="48">
        <v>8.85</v>
      </c>
      <c r="F25" s="48">
        <f t="shared" si="2"/>
        <v>13275</v>
      </c>
      <c r="G25" s="49">
        <f>$F25/$F39</f>
        <v>0.045959742855107164</v>
      </c>
      <c r="H25" s="48">
        <f t="shared" si="3"/>
        <v>-7725</v>
      </c>
      <c r="I25" s="63"/>
      <c r="J25" s="78" t="s">
        <v>275</v>
      </c>
      <c r="K25" s="79"/>
      <c r="L25" s="82">
        <f>$L22-$L23+$L24</f>
        <v>15924.678984803882</v>
      </c>
      <c r="M25" s="60"/>
      <c r="N25" s="60"/>
      <c r="O25" s="60"/>
    </row>
    <row r="26" spans="1:15" ht="11.25">
      <c r="A26" s="60"/>
      <c r="B26" s="46" t="s">
        <v>259</v>
      </c>
      <c r="C26" s="47">
        <v>1100</v>
      </c>
      <c r="D26" s="48">
        <v>45.2</v>
      </c>
      <c r="E26" s="48">
        <v>42</v>
      </c>
      <c r="F26" s="48">
        <f t="shared" si="2"/>
        <v>46200</v>
      </c>
      <c r="G26" s="49">
        <f>$F26/$F39</f>
        <v>0.15995029151833906</v>
      </c>
      <c r="H26" s="48">
        <f t="shared" si="3"/>
        <v>-3520</v>
      </c>
      <c r="I26" s="65"/>
      <c r="J26" s="114" t="s">
        <v>24</v>
      </c>
      <c r="K26" s="114"/>
      <c r="L26" s="84">
        <f>$F39/$L25</f>
        <v>18.137868677300975</v>
      </c>
      <c r="M26" s="60"/>
      <c r="N26" s="60"/>
      <c r="O26" s="60"/>
    </row>
    <row r="27" spans="1:15" ht="11.25">
      <c r="A27" s="60"/>
      <c r="B27" s="46" t="s">
        <v>318</v>
      </c>
      <c r="C27" s="47">
        <v>300</v>
      </c>
      <c r="D27" s="48">
        <v>103.3</v>
      </c>
      <c r="E27" s="48">
        <v>103</v>
      </c>
      <c r="F27" s="48">
        <f t="shared" si="2"/>
        <v>30900</v>
      </c>
      <c r="G27" s="49">
        <f>$F27/$F39</f>
        <v>0.10697974043109691</v>
      </c>
      <c r="H27" s="48">
        <f t="shared" si="3"/>
        <v>-90</v>
      </c>
      <c r="I27" s="63"/>
      <c r="J27" s="115" t="s">
        <v>241</v>
      </c>
      <c r="K27" s="115"/>
      <c r="L27" s="115"/>
      <c r="M27" s="60"/>
      <c r="N27" s="60"/>
      <c r="O27" s="60"/>
    </row>
    <row r="28" spans="1:15" ht="11.25">
      <c r="A28" s="60"/>
      <c r="B28" s="46" t="s">
        <v>322</v>
      </c>
      <c r="C28" s="47">
        <v>7000</v>
      </c>
      <c r="D28" s="48">
        <v>4</v>
      </c>
      <c r="E28" s="48">
        <v>3.8</v>
      </c>
      <c r="F28" s="48">
        <f t="shared" si="2"/>
        <v>26600</v>
      </c>
      <c r="G28" s="49">
        <f>$F28/$F39</f>
        <v>0.09209259208631643</v>
      </c>
      <c r="H28" s="48">
        <f t="shared" si="3"/>
        <v>-1400</v>
      </c>
      <c r="I28" s="63"/>
      <c r="J28" s="69" t="s">
        <v>246</v>
      </c>
      <c r="K28" s="70"/>
      <c r="L28" s="100">
        <v>546.5050000000965</v>
      </c>
      <c r="M28" s="60"/>
      <c r="N28" s="60"/>
      <c r="O28" s="60"/>
    </row>
    <row r="29" spans="1:15" ht="11.25">
      <c r="A29" s="60"/>
      <c r="B29" s="46" t="s">
        <v>200</v>
      </c>
      <c r="C29" s="47">
        <v>2000</v>
      </c>
      <c r="D29" s="48">
        <v>4.7</v>
      </c>
      <c r="E29" s="48">
        <v>4.06</v>
      </c>
      <c r="F29" s="48">
        <f t="shared" si="2"/>
        <v>8119.999999999999</v>
      </c>
      <c r="G29" s="49">
        <f>$F29/$F39</f>
        <v>0.0281124754789808</v>
      </c>
      <c r="H29" s="48">
        <f t="shared" si="3"/>
        <v>-1280.000000000001</v>
      </c>
      <c r="I29" s="65"/>
      <c r="J29" s="109" t="s">
        <v>244</v>
      </c>
      <c r="K29" s="109"/>
      <c r="L29" s="80">
        <v>0</v>
      </c>
      <c r="M29" s="60"/>
      <c r="N29" s="60"/>
      <c r="O29" s="60"/>
    </row>
    <row r="30" spans="1:15" ht="11.25">
      <c r="A30" s="60"/>
      <c r="B30" s="46" t="s">
        <v>23</v>
      </c>
      <c r="C30" s="47">
        <v>3000</v>
      </c>
      <c r="D30" s="48">
        <v>13.75</v>
      </c>
      <c r="E30" s="48">
        <v>13.9</v>
      </c>
      <c r="F30" s="48">
        <f t="shared" si="2"/>
        <v>41700</v>
      </c>
      <c r="G30" s="49">
        <f>$F30/$F39</f>
        <v>0.1443707176691502</v>
      </c>
      <c r="H30" s="48">
        <f t="shared" si="3"/>
        <v>450</v>
      </c>
      <c r="I30" s="63"/>
      <c r="J30" s="109" t="s">
        <v>245</v>
      </c>
      <c r="K30" s="109"/>
      <c r="L30" s="80">
        <v>0</v>
      </c>
      <c r="M30" s="60"/>
      <c r="N30" s="60"/>
      <c r="O30" s="60"/>
    </row>
    <row r="31" spans="1:15" ht="11.25">
      <c r="A31" s="60"/>
      <c r="B31" s="46" t="s">
        <v>315</v>
      </c>
      <c r="C31" s="47">
        <v>8000</v>
      </c>
      <c r="D31" s="48">
        <v>6.73</v>
      </c>
      <c r="E31" s="48">
        <v>7.05</v>
      </c>
      <c r="F31" s="48">
        <f t="shared" si="2"/>
        <v>56400</v>
      </c>
      <c r="G31" s="49">
        <f>$F31/$F39</f>
        <v>0.19526399224316718</v>
      </c>
      <c r="H31" s="48">
        <f t="shared" si="3"/>
        <v>2560</v>
      </c>
      <c r="I31" s="65"/>
      <c r="J31" s="108" t="s">
        <v>253</v>
      </c>
      <c r="K31" s="108"/>
      <c r="L31" s="87">
        <f>$L23*$N23</f>
        <v>0</v>
      </c>
      <c r="M31" s="60"/>
      <c r="N31" s="58"/>
      <c r="O31" s="60"/>
    </row>
    <row r="32" spans="1:15" ht="11.25">
      <c r="A32" s="60"/>
      <c r="B32" s="111" t="s">
        <v>25</v>
      </c>
      <c r="C32" s="111"/>
      <c r="D32" s="111"/>
      <c r="E32" s="50"/>
      <c r="F32" s="50">
        <f>SUM($F24:$F31)</f>
        <v>231970</v>
      </c>
      <c r="G32" s="51">
        <f>SUM($G24:$G31)</f>
        <v>0.803109721288076</v>
      </c>
      <c r="H32" s="48">
        <f>SUM(H24:H31)</f>
        <v>-10780</v>
      </c>
      <c r="I32" s="63"/>
      <c r="J32" s="109" t="s">
        <v>249</v>
      </c>
      <c r="K32" s="109"/>
      <c r="L32" s="80">
        <v>0</v>
      </c>
      <c r="M32" s="71"/>
      <c r="N32" s="60"/>
      <c r="O32" s="60"/>
    </row>
    <row r="33" spans="1:15" ht="11.25">
      <c r="A33" s="60"/>
      <c r="B33" s="104" t="s">
        <v>242</v>
      </c>
      <c r="C33" s="104"/>
      <c r="D33" s="48"/>
      <c r="E33" s="48"/>
      <c r="F33" s="48">
        <v>88414.31590454742</v>
      </c>
      <c r="G33" s="62"/>
      <c r="H33" s="62"/>
      <c r="I33" s="63"/>
      <c r="J33" s="108" t="s">
        <v>254</v>
      </c>
      <c r="K33" s="108"/>
      <c r="L33" s="87">
        <v>0</v>
      </c>
      <c r="M33" s="60"/>
      <c r="N33" s="94"/>
      <c r="O33" s="60"/>
    </row>
    <row r="34" spans="1:15" ht="11.25">
      <c r="A34" s="60"/>
      <c r="B34" s="52" t="s">
        <v>13</v>
      </c>
      <c r="C34" s="52"/>
      <c r="D34" s="48"/>
      <c r="E34" s="48"/>
      <c r="F34" s="48">
        <v>-31544.579750000008</v>
      </c>
      <c r="G34" s="62"/>
      <c r="H34" s="62"/>
      <c r="I34" s="63"/>
      <c r="J34" s="109" t="s">
        <v>248</v>
      </c>
      <c r="K34" s="109"/>
      <c r="L34" s="80">
        <v>0</v>
      </c>
      <c r="M34" s="60"/>
      <c r="N34" s="60"/>
      <c r="O34" s="60"/>
    </row>
    <row r="35" spans="1:15" ht="11.25">
      <c r="A35" s="60"/>
      <c r="B35" s="104" t="s">
        <v>26</v>
      </c>
      <c r="C35" s="104"/>
      <c r="D35" s="48"/>
      <c r="E35" s="48"/>
      <c r="F35" s="48">
        <v>0</v>
      </c>
      <c r="G35" s="62"/>
      <c r="H35" s="62">
        <f>SUM(F35:G35)</f>
        <v>0</v>
      </c>
      <c r="I35" s="63"/>
      <c r="J35" s="110" t="s">
        <v>247</v>
      </c>
      <c r="K35" s="110"/>
      <c r="L35" s="86">
        <f>SUM(L28:L30,L32,L34)</f>
        <v>546.5050000000965</v>
      </c>
      <c r="M35" s="60"/>
      <c r="N35" s="60"/>
      <c r="O35" s="60"/>
    </row>
    <row r="36" spans="1:15" ht="11.25">
      <c r="A36" s="60"/>
      <c r="B36" s="52" t="s">
        <v>102</v>
      </c>
      <c r="C36" s="52"/>
      <c r="D36" s="48"/>
      <c r="E36" s="48"/>
      <c r="F36" s="48">
        <v>0</v>
      </c>
      <c r="G36" s="62"/>
      <c r="H36" s="62"/>
      <c r="I36" s="63"/>
      <c r="J36" s="55" t="s">
        <v>203</v>
      </c>
      <c r="K36" s="55"/>
      <c r="L36" s="50">
        <v>117823.46437779741</v>
      </c>
      <c r="M36" s="60"/>
      <c r="N36" s="60"/>
      <c r="O36" s="60"/>
    </row>
    <row r="37" spans="1:15" ht="11.25">
      <c r="A37" s="60"/>
      <c r="B37" s="104" t="s">
        <v>89</v>
      </c>
      <c r="C37" s="104"/>
      <c r="D37" s="48"/>
      <c r="E37" s="48"/>
      <c r="F37" s="48">
        <v>0</v>
      </c>
      <c r="G37" s="62"/>
      <c r="H37" s="62"/>
      <c r="I37" s="63"/>
      <c r="J37" s="98" t="s">
        <v>118</v>
      </c>
      <c r="K37" s="98"/>
      <c r="L37" s="99">
        <f>SUM($L35:$L36)</f>
        <v>118369.9693777975</v>
      </c>
      <c r="M37" s="60"/>
      <c r="N37" s="60"/>
      <c r="O37" s="60"/>
    </row>
    <row r="38" spans="1:15" ht="13.5">
      <c r="A38" s="60"/>
      <c r="B38" s="105" t="s">
        <v>243</v>
      </c>
      <c r="C38" s="105"/>
      <c r="D38" s="105"/>
      <c r="E38" s="53"/>
      <c r="F38" s="50">
        <f>SUM($F33:$F37)</f>
        <v>56869.73615454741</v>
      </c>
      <c r="G38" s="51">
        <f>$F38/$F39</f>
        <v>0.1968902787119239</v>
      </c>
      <c r="H38" s="57">
        <f>H18+1</f>
        <v>37992</v>
      </c>
      <c r="I38" s="63"/>
      <c r="J38" s="106" t="s">
        <v>117</v>
      </c>
      <c r="K38" s="106"/>
      <c r="L38" s="85">
        <f>$F39+$L35+$L31+$L33</f>
        <v>289386.24115454755</v>
      </c>
      <c r="M38" s="60"/>
      <c r="N38" s="60"/>
      <c r="O38" s="60"/>
    </row>
    <row r="39" spans="1:15" ht="13.5">
      <c r="A39" s="60"/>
      <c r="B39" s="107" t="s">
        <v>15</v>
      </c>
      <c r="C39" s="107"/>
      <c r="D39" s="107"/>
      <c r="E39" s="54"/>
      <c r="F39" s="74">
        <f>SUM($F32,$F38)</f>
        <v>288839.7361545474</v>
      </c>
      <c r="G39" s="56">
        <f>SUM($G32,$G38)</f>
        <v>0.9999999999999999</v>
      </c>
      <c r="H39" s="66"/>
      <c r="I39" s="63"/>
      <c r="J39" s="60"/>
      <c r="K39" s="60"/>
      <c r="L39" s="60"/>
      <c r="M39" s="60"/>
      <c r="N39" s="60"/>
      <c r="O39" s="60"/>
    </row>
    <row r="40" spans="1:15" ht="11.25">
      <c r="A40" s="60"/>
      <c r="B40" s="60"/>
      <c r="C40" s="60"/>
      <c r="D40" s="60"/>
      <c r="E40" s="60"/>
      <c r="F40" s="60"/>
      <c r="G40" s="66"/>
      <c r="H40" s="67"/>
      <c r="I40" s="63"/>
      <c r="J40" s="60"/>
      <c r="K40" s="60"/>
      <c r="L40" s="60"/>
      <c r="M40" s="60"/>
      <c r="N40" s="60"/>
      <c r="O40" s="60"/>
    </row>
    <row r="41" spans="1:15" ht="15.75">
      <c r="A41" s="60"/>
      <c r="B41" s="75"/>
      <c r="C41" s="75"/>
      <c r="D41" s="75"/>
      <c r="E41" s="76"/>
      <c r="F41" s="63"/>
      <c r="G41" s="77" t="s">
        <v>233</v>
      </c>
      <c r="H41" s="112">
        <v>37986</v>
      </c>
      <c r="I41" s="112"/>
      <c r="J41" s="112"/>
      <c r="K41" s="60"/>
      <c r="L41" s="60"/>
      <c r="M41" s="60"/>
      <c r="N41" s="60"/>
      <c r="O41" s="60"/>
    </row>
    <row r="42" spans="1:15" ht="11.25">
      <c r="A42" s="61"/>
      <c r="B42" s="113" t="s">
        <v>250</v>
      </c>
      <c r="C42" s="113"/>
      <c r="D42" s="113"/>
      <c r="E42" s="113"/>
      <c r="F42" s="113"/>
      <c r="G42" s="113"/>
      <c r="H42" s="113"/>
      <c r="I42" s="64"/>
      <c r="J42" s="68" t="s">
        <v>252</v>
      </c>
      <c r="K42" s="68"/>
      <c r="L42" s="47">
        <v>15924.678984803882</v>
      </c>
      <c r="M42" s="72"/>
      <c r="N42" s="73"/>
      <c r="O42" s="61"/>
    </row>
    <row r="43" spans="1:15" ht="11.25">
      <c r="A43" s="60"/>
      <c r="B43" s="45" t="s">
        <v>2</v>
      </c>
      <c r="C43" s="45" t="s">
        <v>4</v>
      </c>
      <c r="D43" s="45" t="s">
        <v>9</v>
      </c>
      <c r="E43" s="45" t="s">
        <v>10</v>
      </c>
      <c r="F43" s="45" t="s">
        <v>11</v>
      </c>
      <c r="G43" s="45" t="s">
        <v>12</v>
      </c>
      <c r="H43" s="45" t="s">
        <v>240</v>
      </c>
      <c r="I43" s="63"/>
      <c r="J43" s="68" t="s">
        <v>255</v>
      </c>
      <c r="K43" s="68"/>
      <c r="L43" s="81">
        <v>0</v>
      </c>
      <c r="M43" s="59" t="s">
        <v>251</v>
      </c>
      <c r="N43" s="83">
        <v>0</v>
      </c>
      <c r="O43" s="60"/>
    </row>
    <row r="44" spans="1:15" ht="11.25">
      <c r="A44" s="60"/>
      <c r="B44" s="46" t="s">
        <v>208</v>
      </c>
      <c r="C44" s="47">
        <v>300</v>
      </c>
      <c r="D44" s="48">
        <v>28.5</v>
      </c>
      <c r="E44" s="48">
        <v>29.25</v>
      </c>
      <c r="F44" s="48">
        <f aca="true" t="shared" si="4" ref="F44:F51">$C44*$E44</f>
        <v>8775</v>
      </c>
      <c r="G44" s="49">
        <f>$F44/$F59</f>
        <v>0.030284139133430577</v>
      </c>
      <c r="H44" s="48">
        <f aca="true" t="shared" si="5" ref="H44:H51">$F44-($C44*$D44)</f>
        <v>225</v>
      </c>
      <c r="I44" s="65"/>
      <c r="J44" s="68" t="s">
        <v>256</v>
      </c>
      <c r="K44" s="68"/>
      <c r="L44" s="81">
        <v>0</v>
      </c>
      <c r="M44" s="59" t="s">
        <v>251</v>
      </c>
      <c r="N44" s="97">
        <v>0</v>
      </c>
      <c r="O44" s="60"/>
    </row>
    <row r="45" spans="1:15" ht="11.25">
      <c r="A45" s="60"/>
      <c r="B45" s="46" t="s">
        <v>310</v>
      </c>
      <c r="C45" s="47">
        <v>1500</v>
      </c>
      <c r="D45" s="48">
        <v>14</v>
      </c>
      <c r="E45" s="48">
        <v>8.9</v>
      </c>
      <c r="F45" s="48">
        <f t="shared" si="4"/>
        <v>13350</v>
      </c>
      <c r="G45" s="49">
        <f>$F45/$F59</f>
        <v>0.04607330569017643</v>
      </c>
      <c r="H45" s="48">
        <f t="shared" si="5"/>
        <v>-7650</v>
      </c>
      <c r="I45" s="63"/>
      <c r="J45" s="78" t="s">
        <v>275</v>
      </c>
      <c r="K45" s="79"/>
      <c r="L45" s="82">
        <f>$L42-$L43+$L44</f>
        <v>15924.678984803882</v>
      </c>
      <c r="M45" s="60"/>
      <c r="N45" s="60"/>
      <c r="O45" s="60"/>
    </row>
    <row r="46" spans="1:15" ht="11.25">
      <c r="A46" s="60"/>
      <c r="B46" s="46" t="s">
        <v>318</v>
      </c>
      <c r="C46" s="47">
        <v>300</v>
      </c>
      <c r="D46" s="48">
        <v>103.3</v>
      </c>
      <c r="E46" s="48">
        <v>104</v>
      </c>
      <c r="F46" s="48">
        <f t="shared" si="4"/>
        <v>31200</v>
      </c>
      <c r="G46" s="49">
        <f>$F46/$F59</f>
        <v>0.10767693914108649</v>
      </c>
      <c r="H46" s="48">
        <f t="shared" si="5"/>
        <v>210</v>
      </c>
      <c r="I46" s="65"/>
      <c r="J46" s="114" t="s">
        <v>24</v>
      </c>
      <c r="K46" s="114"/>
      <c r="L46" s="84">
        <f>$F59/$L45</f>
        <v>18.19538318047394</v>
      </c>
      <c r="M46" s="60"/>
      <c r="N46" s="60"/>
      <c r="O46" s="60"/>
    </row>
    <row r="47" spans="1:15" ht="11.25">
      <c r="A47" s="60"/>
      <c r="B47" s="46" t="s">
        <v>322</v>
      </c>
      <c r="C47" s="47">
        <v>7000</v>
      </c>
      <c r="D47" s="48">
        <v>4</v>
      </c>
      <c r="E47" s="48">
        <v>3.88</v>
      </c>
      <c r="F47" s="48">
        <f t="shared" si="4"/>
        <v>27160</v>
      </c>
      <c r="G47" s="49">
        <f>$F47/$F59</f>
        <v>0.09373415599589452</v>
      </c>
      <c r="H47" s="48">
        <f t="shared" si="5"/>
        <v>-840</v>
      </c>
      <c r="I47" s="63"/>
      <c r="J47" s="115" t="s">
        <v>241</v>
      </c>
      <c r="K47" s="115"/>
      <c r="L47" s="115"/>
      <c r="M47" s="60"/>
      <c r="N47" s="60"/>
      <c r="O47" s="60"/>
    </row>
    <row r="48" spans="1:15" ht="11.25">
      <c r="A48" s="60"/>
      <c r="B48" s="46" t="s">
        <v>200</v>
      </c>
      <c r="C48" s="47">
        <v>2000</v>
      </c>
      <c r="D48" s="48">
        <v>4.7</v>
      </c>
      <c r="E48" s="48">
        <v>4.02</v>
      </c>
      <c r="F48" s="48">
        <f t="shared" si="4"/>
        <v>8039.999999999999</v>
      </c>
      <c r="G48" s="49">
        <f>$F48/$F59</f>
        <v>0.027747518932510748</v>
      </c>
      <c r="H48" s="48">
        <f t="shared" si="5"/>
        <v>-1360.000000000001</v>
      </c>
      <c r="I48" s="63"/>
      <c r="J48" s="69" t="s">
        <v>246</v>
      </c>
      <c r="K48" s="70"/>
      <c r="L48" s="100">
        <v>546.5050000000965</v>
      </c>
      <c r="M48" s="60"/>
      <c r="N48" s="60"/>
      <c r="O48" s="60"/>
    </row>
    <row r="49" spans="1:15" ht="11.25">
      <c r="A49" s="60"/>
      <c r="B49" s="46" t="s">
        <v>23</v>
      </c>
      <c r="C49" s="47">
        <v>5000</v>
      </c>
      <c r="D49" s="48">
        <v>14.2</v>
      </c>
      <c r="E49" s="48">
        <v>14.1</v>
      </c>
      <c r="F49" s="48">
        <f t="shared" si="4"/>
        <v>70500</v>
      </c>
      <c r="G49" s="49">
        <f>$F49/$F59</f>
        <v>0.24330846825149352</v>
      </c>
      <c r="H49" s="48">
        <f t="shared" si="5"/>
        <v>-500</v>
      </c>
      <c r="I49" s="65"/>
      <c r="J49" s="109" t="s">
        <v>244</v>
      </c>
      <c r="K49" s="109"/>
      <c r="L49" s="80">
        <v>0</v>
      </c>
      <c r="M49" s="60"/>
      <c r="N49" s="60"/>
      <c r="O49" s="60"/>
    </row>
    <row r="50" spans="1:15" ht="11.25">
      <c r="A50" s="60"/>
      <c r="B50" s="46" t="s">
        <v>315</v>
      </c>
      <c r="C50" s="47">
        <v>8000</v>
      </c>
      <c r="D50" s="48">
        <v>6.73</v>
      </c>
      <c r="E50" s="48">
        <v>7.15</v>
      </c>
      <c r="F50" s="48">
        <f t="shared" si="4"/>
        <v>57200</v>
      </c>
      <c r="G50" s="49">
        <f>$F50/$F59</f>
        <v>0.19740772175865856</v>
      </c>
      <c r="H50" s="48">
        <f t="shared" si="5"/>
        <v>3360</v>
      </c>
      <c r="I50" s="63"/>
      <c r="J50" s="109" t="s">
        <v>245</v>
      </c>
      <c r="K50" s="109"/>
      <c r="L50" s="80">
        <v>0</v>
      </c>
      <c r="M50" s="60"/>
      <c r="N50" s="60"/>
      <c r="O50" s="60"/>
    </row>
    <row r="51" spans="1:15" ht="11.25">
      <c r="A51" s="60"/>
      <c r="B51" s="46" t="s">
        <v>320</v>
      </c>
      <c r="C51" s="47">
        <v>9000</v>
      </c>
      <c r="D51" s="48">
        <v>5.8</v>
      </c>
      <c r="E51" s="48">
        <v>5.75</v>
      </c>
      <c r="F51" s="48">
        <f t="shared" si="4"/>
        <v>51750</v>
      </c>
      <c r="G51" s="49">
        <f>$F51/$F59</f>
        <v>0.17859876924843673</v>
      </c>
      <c r="H51" s="48">
        <f t="shared" si="5"/>
        <v>-450</v>
      </c>
      <c r="I51" s="65"/>
      <c r="J51" s="108" t="s">
        <v>253</v>
      </c>
      <c r="K51" s="108"/>
      <c r="L51" s="87">
        <f>$L43*$N43</f>
        <v>0</v>
      </c>
      <c r="M51" s="60"/>
      <c r="N51" s="58"/>
      <c r="O51" s="60"/>
    </row>
    <row r="52" spans="1:15" ht="11.25">
      <c r="A52" s="60"/>
      <c r="B52" s="111" t="s">
        <v>25</v>
      </c>
      <c r="C52" s="111"/>
      <c r="D52" s="111"/>
      <c r="E52" s="50"/>
      <c r="F52" s="50">
        <f>SUM($F44:$F51)</f>
        <v>267975</v>
      </c>
      <c r="G52" s="51">
        <f>SUM($G44:$G51)</f>
        <v>0.9248310181516877</v>
      </c>
      <c r="H52" s="48">
        <f>SUM(H44:H51)</f>
        <v>-7005</v>
      </c>
      <c r="I52" s="63"/>
      <c r="J52" s="109" t="s">
        <v>249</v>
      </c>
      <c r="K52" s="109"/>
      <c r="L52" s="80">
        <v>0</v>
      </c>
      <c r="M52" s="71"/>
      <c r="N52" s="60"/>
      <c r="O52" s="60"/>
    </row>
    <row r="53" spans="1:15" ht="11.25">
      <c r="A53" s="60"/>
      <c r="B53" s="104" t="s">
        <v>242</v>
      </c>
      <c r="C53" s="104"/>
      <c r="D53" s="48"/>
      <c r="E53" s="48"/>
      <c r="F53" s="48">
        <v>56869.73615454741</v>
      </c>
      <c r="G53" s="62"/>
      <c r="H53" s="62"/>
      <c r="I53" s="63"/>
      <c r="J53" s="108" t="s">
        <v>254</v>
      </c>
      <c r="K53" s="108"/>
      <c r="L53" s="87">
        <v>0</v>
      </c>
      <c r="M53" s="60"/>
      <c r="N53" s="94"/>
      <c r="O53" s="60"/>
    </row>
    <row r="54" spans="1:15" ht="11.25">
      <c r="A54" s="60"/>
      <c r="B54" s="52" t="s">
        <v>13</v>
      </c>
      <c r="C54" s="52"/>
      <c r="D54" s="48"/>
      <c r="E54" s="48"/>
      <c r="F54" s="48">
        <v>-35089.1</v>
      </c>
      <c r="G54" s="62"/>
      <c r="H54" s="62"/>
      <c r="I54" s="63"/>
      <c r="J54" s="109" t="s">
        <v>248</v>
      </c>
      <c r="K54" s="109"/>
      <c r="L54" s="80">
        <v>0</v>
      </c>
      <c r="M54" s="60"/>
      <c r="N54" s="60"/>
      <c r="O54" s="60"/>
    </row>
    <row r="55" spans="1:15" ht="11.25">
      <c r="A55" s="60"/>
      <c r="B55" s="104" t="s">
        <v>26</v>
      </c>
      <c r="C55" s="104"/>
      <c r="D55" s="48"/>
      <c r="E55" s="48"/>
      <c r="F55" s="48">
        <v>0</v>
      </c>
      <c r="G55" s="62"/>
      <c r="H55" s="62">
        <f>SUM(F55:G55)</f>
        <v>0</v>
      </c>
      <c r="I55" s="63"/>
      <c r="J55" s="110" t="s">
        <v>247</v>
      </c>
      <c r="K55" s="110"/>
      <c r="L55" s="86">
        <f>SUM(L48:L50,L52,L54)</f>
        <v>546.5050000000965</v>
      </c>
      <c r="M55" s="60"/>
      <c r="N55" s="60"/>
      <c r="O55" s="60"/>
    </row>
    <row r="56" spans="1:15" ht="11.25">
      <c r="A56" s="60"/>
      <c r="B56" s="52" t="s">
        <v>102</v>
      </c>
      <c r="C56" s="52"/>
      <c r="D56" s="48"/>
      <c r="E56" s="48"/>
      <c r="F56" s="48">
        <v>0</v>
      </c>
      <c r="G56" s="62"/>
      <c r="H56" s="62"/>
      <c r="I56" s="63"/>
      <c r="J56" s="55" t="s">
        <v>203</v>
      </c>
      <c r="K56" s="55"/>
      <c r="L56" s="50">
        <v>88414.31590454742</v>
      </c>
      <c r="M56" s="60"/>
      <c r="N56" s="60"/>
      <c r="O56" s="60"/>
    </row>
    <row r="57" spans="1:15" ht="11.25">
      <c r="A57" s="60"/>
      <c r="B57" s="104" t="s">
        <v>89</v>
      </c>
      <c r="C57" s="104"/>
      <c r="D57" s="48"/>
      <c r="E57" s="48"/>
      <c r="F57" s="48">
        <v>0</v>
      </c>
      <c r="G57" s="62"/>
      <c r="H57" s="62"/>
      <c r="I57" s="63"/>
      <c r="J57" s="98" t="s">
        <v>118</v>
      </c>
      <c r="K57" s="98"/>
      <c r="L57" s="99">
        <f>SUM($L55:$L56)</f>
        <v>88960.82090454751</v>
      </c>
      <c r="M57" s="60"/>
      <c r="N57" s="60"/>
      <c r="O57" s="60"/>
    </row>
    <row r="58" spans="1:15" ht="13.5">
      <c r="A58" s="60"/>
      <c r="B58" s="105" t="s">
        <v>243</v>
      </c>
      <c r="C58" s="105"/>
      <c r="D58" s="105"/>
      <c r="E58" s="53"/>
      <c r="F58" s="50">
        <f>SUM($F53:$F57)</f>
        <v>21780.636154547414</v>
      </c>
      <c r="G58" s="51">
        <f>$F58/$F59</f>
        <v>0.0751689818483125</v>
      </c>
      <c r="H58" s="57">
        <f>H38+1</f>
        <v>37993</v>
      </c>
      <c r="I58" s="63"/>
      <c r="J58" s="106" t="s">
        <v>117</v>
      </c>
      <c r="K58" s="106"/>
      <c r="L58" s="85">
        <f>$F59+$L55+$L51+$L53</f>
        <v>290302.1411545475</v>
      </c>
      <c r="M58" s="60"/>
      <c r="N58" s="60"/>
      <c r="O58" s="60"/>
    </row>
    <row r="59" spans="1:15" ht="13.5">
      <c r="A59" s="60"/>
      <c r="B59" s="107" t="s">
        <v>15</v>
      </c>
      <c r="C59" s="107"/>
      <c r="D59" s="107"/>
      <c r="E59" s="54"/>
      <c r="F59" s="74">
        <f>SUM($F52,$F58)</f>
        <v>289755.6361545474</v>
      </c>
      <c r="G59" s="56">
        <f>SUM($G52,$G58)</f>
        <v>1.0000000000000002</v>
      </c>
      <c r="H59" s="66"/>
      <c r="I59" s="63"/>
      <c r="J59" s="60"/>
      <c r="K59" s="60"/>
      <c r="L59" s="60"/>
      <c r="M59" s="60"/>
      <c r="N59" s="60"/>
      <c r="O59" s="60"/>
    </row>
    <row r="60" spans="1:15" ht="11.25">
      <c r="A60" s="60"/>
      <c r="B60" s="60"/>
      <c r="C60" s="60"/>
      <c r="D60" s="60"/>
      <c r="E60" s="60"/>
      <c r="F60" s="60"/>
      <c r="G60" s="66"/>
      <c r="H60" s="67"/>
      <c r="I60" s="63"/>
      <c r="J60" s="60"/>
      <c r="K60" s="60"/>
      <c r="L60" s="60"/>
      <c r="M60" s="60"/>
      <c r="N60" s="60"/>
      <c r="O60" s="60"/>
    </row>
    <row r="61" spans="1:15" ht="15.75">
      <c r="A61" s="60"/>
      <c r="B61" s="75"/>
      <c r="C61" s="75"/>
      <c r="D61" s="75"/>
      <c r="E61" s="76"/>
      <c r="F61" s="63"/>
      <c r="G61" s="77" t="s">
        <v>229</v>
      </c>
      <c r="H61" s="112">
        <f>H41+5</f>
        <v>37991</v>
      </c>
      <c r="I61" s="112"/>
      <c r="J61" s="112"/>
      <c r="K61" s="60"/>
      <c r="L61" s="60"/>
      <c r="M61" s="60"/>
      <c r="N61" s="60"/>
      <c r="O61" s="60"/>
    </row>
    <row r="62" spans="1:15" ht="11.25">
      <c r="A62" s="61"/>
      <c r="B62" s="113" t="s">
        <v>250</v>
      </c>
      <c r="C62" s="113"/>
      <c r="D62" s="113"/>
      <c r="E62" s="113"/>
      <c r="F62" s="113"/>
      <c r="G62" s="113"/>
      <c r="H62" s="113"/>
      <c r="I62" s="64"/>
      <c r="J62" s="68" t="s">
        <v>252</v>
      </c>
      <c r="K62" s="68"/>
      <c r="L62" s="47">
        <v>15924.678984803882</v>
      </c>
      <c r="M62" s="72"/>
      <c r="N62" s="73"/>
      <c r="O62" s="61"/>
    </row>
    <row r="63" spans="1:15" ht="11.25">
      <c r="A63" s="60"/>
      <c r="B63" s="45" t="s">
        <v>2</v>
      </c>
      <c r="C63" s="45" t="s">
        <v>4</v>
      </c>
      <c r="D63" s="45" t="s">
        <v>9</v>
      </c>
      <c r="E63" s="45" t="s">
        <v>10</v>
      </c>
      <c r="F63" s="45" t="s">
        <v>11</v>
      </c>
      <c r="G63" s="45" t="s">
        <v>12</v>
      </c>
      <c r="H63" s="45" t="s">
        <v>240</v>
      </c>
      <c r="I63" s="63"/>
      <c r="J63" s="68" t="s">
        <v>255</v>
      </c>
      <c r="K63" s="68"/>
      <c r="L63" s="81">
        <v>0</v>
      </c>
      <c r="M63" s="59" t="s">
        <v>251</v>
      </c>
      <c r="N63" s="83">
        <v>0</v>
      </c>
      <c r="O63" s="60"/>
    </row>
    <row r="64" spans="1:15" ht="11.25">
      <c r="A64" s="60"/>
      <c r="B64" s="46" t="s">
        <v>208</v>
      </c>
      <c r="C64" s="47">
        <v>300</v>
      </c>
      <c r="D64" s="48">
        <v>28.5</v>
      </c>
      <c r="E64" s="48">
        <v>31</v>
      </c>
      <c r="F64" s="48">
        <f aca="true" t="shared" si="6" ref="F64:F70">$C64*$E64</f>
        <v>9300</v>
      </c>
      <c r="G64" s="49">
        <f>$F64/$F79</f>
        <v>0.030230837196708323</v>
      </c>
      <c r="H64" s="48">
        <f aca="true" t="shared" si="7" ref="H64:H70">$F64-($C64*$D64)</f>
        <v>750</v>
      </c>
      <c r="I64" s="65"/>
      <c r="J64" s="68" t="s">
        <v>256</v>
      </c>
      <c r="K64" s="68"/>
      <c r="L64" s="81">
        <v>0</v>
      </c>
      <c r="M64" s="59" t="s">
        <v>251</v>
      </c>
      <c r="N64" s="97">
        <v>0</v>
      </c>
      <c r="O64" s="60"/>
    </row>
    <row r="65" spans="1:15" ht="11.25">
      <c r="A65" s="60"/>
      <c r="B65" s="46" t="s">
        <v>310</v>
      </c>
      <c r="C65" s="47">
        <v>1500</v>
      </c>
      <c r="D65" s="48">
        <v>14</v>
      </c>
      <c r="E65" s="48">
        <v>8.8</v>
      </c>
      <c r="F65" s="48">
        <f t="shared" si="6"/>
        <v>13200.000000000002</v>
      </c>
      <c r="G65" s="49">
        <f>$F65/$F79</f>
        <v>0.04290828505339246</v>
      </c>
      <c r="H65" s="48">
        <f t="shared" si="7"/>
        <v>-7799.999999999998</v>
      </c>
      <c r="I65" s="63"/>
      <c r="J65" s="78" t="s">
        <v>275</v>
      </c>
      <c r="K65" s="79"/>
      <c r="L65" s="82">
        <f>$L62-$L63+$L64</f>
        <v>15924.678984803882</v>
      </c>
      <c r="M65" s="60"/>
      <c r="N65" s="60"/>
      <c r="O65" s="60"/>
    </row>
    <row r="66" spans="1:15" ht="11.25">
      <c r="A66" s="60"/>
      <c r="B66" s="46" t="s">
        <v>318</v>
      </c>
      <c r="C66" s="47">
        <v>300</v>
      </c>
      <c r="D66" s="48">
        <v>103.3</v>
      </c>
      <c r="E66" s="48">
        <v>105</v>
      </c>
      <c r="F66" s="48">
        <f t="shared" si="6"/>
        <v>31500</v>
      </c>
      <c r="G66" s="49">
        <f>$F66/$F79</f>
        <v>0.10239477115014109</v>
      </c>
      <c r="H66" s="48">
        <f t="shared" si="7"/>
        <v>510</v>
      </c>
      <c r="I66" s="65"/>
      <c r="J66" s="114" t="s">
        <v>24</v>
      </c>
      <c r="K66" s="114"/>
      <c r="L66" s="84">
        <f>$F79/$L65</f>
        <v>19.31799670486959</v>
      </c>
      <c r="M66" s="60"/>
      <c r="N66" s="60"/>
      <c r="O66" s="60"/>
    </row>
    <row r="67" spans="1:15" ht="11.25">
      <c r="A67" s="60"/>
      <c r="B67" s="46" t="s">
        <v>320</v>
      </c>
      <c r="C67" s="47">
        <v>11000</v>
      </c>
      <c r="D67" s="48">
        <v>5.8</v>
      </c>
      <c r="E67" s="48">
        <v>6.15</v>
      </c>
      <c r="F67" s="48">
        <f t="shared" si="6"/>
        <v>67650</v>
      </c>
      <c r="G67" s="49">
        <f>$F67/$F79</f>
        <v>0.21990496089863634</v>
      </c>
      <c r="H67" s="48">
        <f t="shared" si="7"/>
        <v>3850</v>
      </c>
      <c r="I67" s="63"/>
      <c r="J67" s="115" t="s">
        <v>241</v>
      </c>
      <c r="K67" s="115"/>
      <c r="L67" s="115"/>
      <c r="M67" s="60"/>
      <c r="N67" s="60"/>
      <c r="O67" s="60"/>
    </row>
    <row r="68" spans="1:15" ht="11.25">
      <c r="A68" s="60"/>
      <c r="B68" s="46" t="s">
        <v>200</v>
      </c>
      <c r="C68" s="47">
        <v>2000</v>
      </c>
      <c r="D68" s="48">
        <v>4.7</v>
      </c>
      <c r="E68" s="48">
        <v>4</v>
      </c>
      <c r="F68" s="48">
        <f t="shared" si="6"/>
        <v>8000</v>
      </c>
      <c r="G68" s="49">
        <f>$F68/$F79</f>
        <v>0.026005021244480276</v>
      </c>
      <c r="H68" s="48">
        <f t="shared" si="7"/>
        <v>-1400</v>
      </c>
      <c r="I68" s="63"/>
      <c r="J68" s="69" t="s">
        <v>246</v>
      </c>
      <c r="K68" s="70"/>
      <c r="L68" s="100">
        <v>546.5050000000965</v>
      </c>
      <c r="M68" s="60"/>
      <c r="N68" s="60"/>
      <c r="O68" s="60"/>
    </row>
    <row r="69" spans="1:15" ht="11.25">
      <c r="A69" s="60"/>
      <c r="B69" s="46" t="s">
        <v>23</v>
      </c>
      <c r="C69" s="47">
        <v>6000</v>
      </c>
      <c r="D69" s="48">
        <v>14.3</v>
      </c>
      <c r="E69" s="48">
        <v>15.3</v>
      </c>
      <c r="F69" s="48">
        <f t="shared" si="6"/>
        <v>91800</v>
      </c>
      <c r="G69" s="49">
        <f>$F69/$F79</f>
        <v>0.29840761878041117</v>
      </c>
      <c r="H69" s="48">
        <f t="shared" si="7"/>
        <v>6000</v>
      </c>
      <c r="I69" s="65"/>
      <c r="J69" s="109" t="s">
        <v>244</v>
      </c>
      <c r="K69" s="109"/>
      <c r="L69" s="80">
        <v>0</v>
      </c>
      <c r="M69" s="60"/>
      <c r="N69" s="60"/>
      <c r="O69" s="60"/>
    </row>
    <row r="70" spans="1:15" ht="11.25">
      <c r="A70" s="60"/>
      <c r="B70" s="46" t="s">
        <v>315</v>
      </c>
      <c r="C70" s="47">
        <v>9000</v>
      </c>
      <c r="D70" s="48">
        <v>6.79</v>
      </c>
      <c r="E70" s="48">
        <v>7.65</v>
      </c>
      <c r="F70" s="48">
        <f t="shared" si="6"/>
        <v>68850</v>
      </c>
      <c r="G70" s="49">
        <f>$F70/$F79</f>
        <v>0.2238057140853084</v>
      </c>
      <c r="H70" s="48">
        <f t="shared" si="7"/>
        <v>7740</v>
      </c>
      <c r="I70" s="63"/>
      <c r="J70" s="109" t="s">
        <v>245</v>
      </c>
      <c r="K70" s="109"/>
      <c r="L70" s="80">
        <v>0</v>
      </c>
      <c r="M70" s="60"/>
      <c r="N70" s="60"/>
      <c r="O70" s="60"/>
    </row>
    <row r="71" spans="1:15" ht="11.25">
      <c r="A71" s="60"/>
      <c r="B71" s="46"/>
      <c r="C71" s="47"/>
      <c r="D71" s="48"/>
      <c r="E71" s="48"/>
      <c r="F71" s="48"/>
      <c r="G71" s="49"/>
      <c r="H71" s="48"/>
      <c r="I71" s="65"/>
      <c r="J71" s="108" t="s">
        <v>253</v>
      </c>
      <c r="K71" s="108"/>
      <c r="L71" s="87">
        <f>$L63*$N63</f>
        <v>0</v>
      </c>
      <c r="M71" s="60"/>
      <c r="N71" s="58"/>
      <c r="O71" s="60"/>
    </row>
    <row r="72" spans="1:15" ht="11.25">
      <c r="A72" s="60"/>
      <c r="B72" s="111" t="s">
        <v>25</v>
      </c>
      <c r="C72" s="111"/>
      <c r="D72" s="111"/>
      <c r="E72" s="50"/>
      <c r="F72" s="50">
        <f>SUM($F64:$F71)</f>
        <v>290300</v>
      </c>
      <c r="G72" s="51">
        <f>SUM($G64:$G71)</f>
        <v>0.9436572084090781</v>
      </c>
      <c r="H72" s="48">
        <f>SUM(H64:H71)</f>
        <v>9650.000000000002</v>
      </c>
      <c r="I72" s="63"/>
      <c r="J72" s="109" t="s">
        <v>249</v>
      </c>
      <c r="K72" s="109"/>
      <c r="L72" s="80">
        <v>0</v>
      </c>
      <c r="M72" s="71"/>
      <c r="N72" s="60"/>
      <c r="O72" s="60"/>
    </row>
    <row r="73" spans="1:15" ht="11.25">
      <c r="A73" s="60"/>
      <c r="B73" s="104" t="s">
        <v>242</v>
      </c>
      <c r="C73" s="104"/>
      <c r="D73" s="48"/>
      <c r="E73" s="48"/>
      <c r="F73" s="48">
        <v>21780.636154547414</v>
      </c>
      <c r="G73" s="62"/>
      <c r="H73" s="62"/>
      <c r="I73" s="63"/>
      <c r="J73" s="108" t="s">
        <v>254</v>
      </c>
      <c r="K73" s="108"/>
      <c r="L73" s="87">
        <v>0</v>
      </c>
      <c r="M73" s="60"/>
      <c r="N73" s="94"/>
      <c r="O73" s="60"/>
    </row>
    <row r="74" spans="1:15" ht="11.25">
      <c r="A74" s="60"/>
      <c r="B74" s="52" t="s">
        <v>13</v>
      </c>
      <c r="C74" s="52"/>
      <c r="D74" s="48"/>
      <c r="E74" s="48"/>
      <c r="F74" s="48">
        <v>-4447.74</v>
      </c>
      <c r="G74" s="62"/>
      <c r="H74" s="62"/>
      <c r="I74" s="63"/>
      <c r="J74" s="109" t="s">
        <v>248</v>
      </c>
      <c r="K74" s="109"/>
      <c r="L74" s="80">
        <v>0</v>
      </c>
      <c r="M74" s="60"/>
      <c r="N74" s="60"/>
      <c r="O74" s="60"/>
    </row>
    <row r="75" spans="1:15" ht="11.25">
      <c r="A75" s="60"/>
      <c r="B75" s="104" t="s">
        <v>26</v>
      </c>
      <c r="C75" s="104"/>
      <c r="D75" s="48"/>
      <c r="E75" s="48"/>
      <c r="F75" s="48">
        <v>0</v>
      </c>
      <c r="G75" s="62"/>
      <c r="H75" s="62">
        <f>SUM(F75:G75)</f>
        <v>0</v>
      </c>
      <c r="I75" s="63"/>
      <c r="J75" s="110" t="s">
        <v>247</v>
      </c>
      <c r="K75" s="110"/>
      <c r="L75" s="86">
        <f>SUM(L68:L70,L72,L74)</f>
        <v>546.5050000000965</v>
      </c>
      <c r="M75" s="60"/>
      <c r="N75" s="60"/>
      <c r="O75" s="60"/>
    </row>
    <row r="76" spans="1:15" ht="11.25">
      <c r="A76" s="60"/>
      <c r="B76" s="52" t="s">
        <v>102</v>
      </c>
      <c r="C76" s="52"/>
      <c r="D76" s="48"/>
      <c r="E76" s="48"/>
      <c r="F76" s="48">
        <v>0</v>
      </c>
      <c r="G76" s="62"/>
      <c r="H76" s="62"/>
      <c r="I76" s="63"/>
      <c r="J76" s="55" t="s">
        <v>203</v>
      </c>
      <c r="K76" s="55"/>
      <c r="L76" s="50">
        <v>88414.31590454742</v>
      </c>
      <c r="M76" s="60"/>
      <c r="N76" s="60"/>
      <c r="O76" s="60"/>
    </row>
    <row r="77" spans="1:15" ht="11.25">
      <c r="A77" s="60"/>
      <c r="B77" s="104" t="s">
        <v>89</v>
      </c>
      <c r="C77" s="104"/>
      <c r="D77" s="48"/>
      <c r="E77" s="48"/>
      <c r="F77" s="48">
        <v>0</v>
      </c>
      <c r="G77" s="62"/>
      <c r="H77" s="62"/>
      <c r="I77" s="63"/>
      <c r="J77" s="98" t="s">
        <v>118</v>
      </c>
      <c r="K77" s="98"/>
      <c r="L77" s="99">
        <f>SUM($L75:$L76)</f>
        <v>88960.82090454751</v>
      </c>
      <c r="M77" s="60"/>
      <c r="N77" s="60"/>
      <c r="O77" s="60"/>
    </row>
    <row r="78" spans="1:15" ht="13.5">
      <c r="A78" s="60"/>
      <c r="B78" s="105" t="s">
        <v>243</v>
      </c>
      <c r="C78" s="105"/>
      <c r="D78" s="105"/>
      <c r="E78" s="53"/>
      <c r="F78" s="50">
        <f>SUM($F73:$F77)</f>
        <v>17332.896154547416</v>
      </c>
      <c r="G78" s="51">
        <f>$F78/$F79</f>
        <v>0.056342791590922</v>
      </c>
      <c r="H78" s="57">
        <f>H58+1</f>
        <v>37994</v>
      </c>
      <c r="I78" s="63"/>
      <c r="J78" s="106" t="s">
        <v>117</v>
      </c>
      <c r="K78" s="106"/>
      <c r="L78" s="85">
        <f>$F79+$L75+$L71+$L73</f>
        <v>308179.4011545475</v>
      </c>
      <c r="M78" s="60"/>
      <c r="N78" s="60"/>
      <c r="O78" s="60"/>
    </row>
    <row r="79" spans="1:15" ht="13.5">
      <c r="A79" s="60"/>
      <c r="B79" s="107" t="s">
        <v>15</v>
      </c>
      <c r="C79" s="107"/>
      <c r="D79" s="107"/>
      <c r="E79" s="54"/>
      <c r="F79" s="74">
        <f>SUM($F72,$F78)</f>
        <v>307632.8961545474</v>
      </c>
      <c r="G79" s="56">
        <f>SUM($G72,$G78)</f>
        <v>1</v>
      </c>
      <c r="H79" s="66"/>
      <c r="I79" s="63"/>
      <c r="J79" s="60"/>
      <c r="K79" s="60"/>
      <c r="L79" s="60"/>
      <c r="M79" s="60"/>
      <c r="N79" s="60"/>
      <c r="O79" s="60"/>
    </row>
    <row r="80" spans="1:15" ht="11.25">
      <c r="A80" s="60"/>
      <c r="B80" s="60"/>
      <c r="C80" s="60"/>
      <c r="D80" s="60"/>
      <c r="E80" s="60"/>
      <c r="F80" s="60"/>
      <c r="G80" s="66"/>
      <c r="H80" s="67"/>
      <c r="I80" s="63"/>
      <c r="J80" s="60"/>
      <c r="K80" s="60"/>
      <c r="L80" s="60"/>
      <c r="M80" s="60"/>
      <c r="N80" s="60"/>
      <c r="O80" s="60"/>
    </row>
    <row r="81" spans="1:15" ht="15.75">
      <c r="A81" s="60"/>
      <c r="B81" s="75"/>
      <c r="C81" s="75"/>
      <c r="D81" s="75"/>
      <c r="E81" s="76"/>
      <c r="F81" s="63"/>
      <c r="G81" s="77" t="s">
        <v>258</v>
      </c>
      <c r="H81" s="112">
        <f>H61+1</f>
        <v>37992</v>
      </c>
      <c r="I81" s="112"/>
      <c r="J81" s="112"/>
      <c r="K81" s="60"/>
      <c r="L81" s="60"/>
      <c r="M81" s="60"/>
      <c r="N81" s="60"/>
      <c r="O81" s="60"/>
    </row>
    <row r="82" spans="1:15" ht="11.25">
      <c r="A82" s="61"/>
      <c r="B82" s="113" t="s">
        <v>250</v>
      </c>
      <c r="C82" s="113"/>
      <c r="D82" s="113"/>
      <c r="E82" s="113"/>
      <c r="F82" s="113"/>
      <c r="G82" s="113"/>
      <c r="H82" s="113"/>
      <c r="I82" s="64"/>
      <c r="J82" s="68" t="s">
        <v>252</v>
      </c>
      <c r="K82" s="68"/>
      <c r="L82" s="47">
        <v>15924.678984803882</v>
      </c>
      <c r="M82" s="72"/>
      <c r="N82" s="73"/>
      <c r="O82" s="61"/>
    </row>
    <row r="83" spans="1:15" ht="11.25">
      <c r="A83" s="60"/>
      <c r="B83" s="45" t="s">
        <v>2</v>
      </c>
      <c r="C83" s="45" t="s">
        <v>4</v>
      </c>
      <c r="D83" s="45" t="s">
        <v>9</v>
      </c>
      <c r="E83" s="45" t="s">
        <v>10</v>
      </c>
      <c r="F83" s="45" t="s">
        <v>11</v>
      </c>
      <c r="G83" s="45" t="s">
        <v>12</v>
      </c>
      <c r="H83" s="45" t="s">
        <v>240</v>
      </c>
      <c r="I83" s="63"/>
      <c r="J83" s="68" t="s">
        <v>255</v>
      </c>
      <c r="K83" s="68"/>
      <c r="L83" s="81">
        <v>0</v>
      </c>
      <c r="M83" s="59" t="s">
        <v>251</v>
      </c>
      <c r="N83" s="83">
        <v>0</v>
      </c>
      <c r="O83" s="60"/>
    </row>
    <row r="84" spans="1:15" ht="11.25">
      <c r="A84" s="60"/>
      <c r="B84" s="46" t="s">
        <v>208</v>
      </c>
      <c r="C84" s="47">
        <v>300</v>
      </c>
      <c r="D84" s="48">
        <v>28.5</v>
      </c>
      <c r="E84" s="48">
        <v>31</v>
      </c>
      <c r="F84" s="48">
        <f>$C84*$E84</f>
        <v>9300</v>
      </c>
      <c r="G84" s="49">
        <f>$F84/$F99</f>
        <v>0.02858792295503674</v>
      </c>
      <c r="H84" s="48">
        <f>$F84-($C84*$D84)</f>
        <v>750</v>
      </c>
      <c r="I84" s="65"/>
      <c r="J84" s="68" t="s">
        <v>256</v>
      </c>
      <c r="K84" s="68"/>
      <c r="L84" s="81">
        <v>1043.1734588645713</v>
      </c>
      <c r="M84" s="59" t="s">
        <v>251</v>
      </c>
      <c r="N84" s="97">
        <v>19.17226692267338</v>
      </c>
      <c r="O84" s="60"/>
    </row>
    <row r="85" spans="1:15" ht="11.25">
      <c r="A85" s="60"/>
      <c r="B85" s="46" t="s">
        <v>318</v>
      </c>
      <c r="C85" s="47">
        <v>300</v>
      </c>
      <c r="D85" s="48">
        <v>103.3</v>
      </c>
      <c r="E85" s="48">
        <v>104</v>
      </c>
      <c r="F85" s="48">
        <f>$C85*$E85</f>
        <v>31200</v>
      </c>
      <c r="G85" s="49">
        <f>$F85/$F99</f>
        <v>0.09590787055883293</v>
      </c>
      <c r="H85" s="48">
        <f>$F85-($C85*$D85)</f>
        <v>210</v>
      </c>
      <c r="I85" s="63"/>
      <c r="J85" s="78" t="s">
        <v>275</v>
      </c>
      <c r="K85" s="79"/>
      <c r="L85" s="82">
        <f>$L82-$L83+$L84</f>
        <v>16967.852443668453</v>
      </c>
      <c r="M85" s="60"/>
      <c r="N85" s="60"/>
      <c r="O85" s="60"/>
    </row>
    <row r="86" spans="1:15" ht="11.25">
      <c r="A86" s="60"/>
      <c r="B86" s="46" t="s">
        <v>200</v>
      </c>
      <c r="C86" s="47">
        <v>2000</v>
      </c>
      <c r="D86" s="48">
        <v>4.7</v>
      </c>
      <c r="E86" s="48">
        <v>4.08</v>
      </c>
      <c r="F86" s="48">
        <f>$C86*$E86</f>
        <v>8160</v>
      </c>
      <c r="G86" s="49">
        <f>$F86/$F99</f>
        <v>0.025083596915387075</v>
      </c>
      <c r="H86" s="48">
        <f>$F86-($C86*$D86)</f>
        <v>-1240</v>
      </c>
      <c r="I86" s="65"/>
      <c r="J86" s="114" t="s">
        <v>24</v>
      </c>
      <c r="K86" s="114"/>
      <c r="L86" s="84">
        <f>$F99/$L85</f>
        <v>19.17226692267338</v>
      </c>
      <c r="M86" s="60"/>
      <c r="N86" s="60"/>
      <c r="O86" s="60"/>
    </row>
    <row r="87" spans="1:15" ht="11.25">
      <c r="A87" s="60"/>
      <c r="B87" s="46" t="s">
        <v>23</v>
      </c>
      <c r="C87" s="47">
        <v>4000</v>
      </c>
      <c r="D87" s="48">
        <v>14.3</v>
      </c>
      <c r="E87" s="48">
        <v>16</v>
      </c>
      <c r="F87" s="48">
        <f>$C87*$E87</f>
        <v>64000</v>
      </c>
      <c r="G87" s="49">
        <f>$F87/$F99</f>
        <v>0.19673409345401627</v>
      </c>
      <c r="H87" s="48">
        <f>$F87-($C87*$D87)</f>
        <v>6800</v>
      </c>
      <c r="I87" s="63"/>
      <c r="J87" s="115" t="s">
        <v>241</v>
      </c>
      <c r="K87" s="115"/>
      <c r="L87" s="115"/>
      <c r="M87" s="60"/>
      <c r="N87" s="60"/>
      <c r="O87" s="60"/>
    </row>
    <row r="88" spans="1:15" ht="11.25">
      <c r="A88" s="60"/>
      <c r="B88" s="46" t="s">
        <v>315</v>
      </c>
      <c r="C88" s="47">
        <v>7000</v>
      </c>
      <c r="D88" s="48">
        <v>7.25</v>
      </c>
      <c r="E88" s="48">
        <v>7.2</v>
      </c>
      <c r="F88" s="48">
        <f>$C88*$E88</f>
        <v>50400</v>
      </c>
      <c r="G88" s="49">
        <f>$F88/$F99</f>
        <v>0.1549280985950378</v>
      </c>
      <c r="H88" s="48">
        <f>$F88-($C88*$D88)</f>
        <v>-350</v>
      </c>
      <c r="I88" s="63"/>
      <c r="J88" s="69" t="s">
        <v>246</v>
      </c>
      <c r="K88" s="70"/>
      <c r="L88" s="100">
        <v>546.5050000000965</v>
      </c>
      <c r="M88" s="60"/>
      <c r="N88" s="60"/>
      <c r="O88" s="60"/>
    </row>
    <row r="89" spans="1:15" ht="11.25">
      <c r="A89" s="60"/>
      <c r="B89" s="46"/>
      <c r="C89" s="47"/>
      <c r="D89" s="48"/>
      <c r="E89" s="48"/>
      <c r="F89" s="48"/>
      <c r="G89" s="49"/>
      <c r="H89" s="48"/>
      <c r="I89" s="65"/>
      <c r="J89" s="109" t="s">
        <v>244</v>
      </c>
      <c r="K89" s="109"/>
      <c r="L89" s="80">
        <v>0</v>
      </c>
      <c r="M89" s="60"/>
      <c r="N89" s="60"/>
      <c r="O89" s="60"/>
    </row>
    <row r="90" spans="1:15" ht="11.25">
      <c r="A90" s="60"/>
      <c r="B90" s="46"/>
      <c r="C90" s="47"/>
      <c r="D90" s="48"/>
      <c r="E90" s="48"/>
      <c r="F90" s="48"/>
      <c r="G90" s="49"/>
      <c r="H90" s="48"/>
      <c r="I90" s="63"/>
      <c r="J90" s="109" t="s">
        <v>245</v>
      </c>
      <c r="K90" s="109"/>
      <c r="L90" s="80">
        <v>20000</v>
      </c>
      <c r="M90" s="60"/>
      <c r="N90" s="60"/>
      <c r="O90" s="60"/>
    </row>
    <row r="91" spans="1:15" ht="11.25">
      <c r="A91" s="60"/>
      <c r="B91" s="46"/>
      <c r="C91" s="47"/>
      <c r="D91" s="48"/>
      <c r="E91" s="48"/>
      <c r="F91" s="48"/>
      <c r="G91" s="49"/>
      <c r="H91" s="48"/>
      <c r="I91" s="65"/>
      <c r="J91" s="108" t="s">
        <v>253</v>
      </c>
      <c r="K91" s="108"/>
      <c r="L91" s="87">
        <f>$L83*$N83</f>
        <v>0</v>
      </c>
      <c r="M91" s="60"/>
      <c r="N91" s="58"/>
      <c r="O91" s="60"/>
    </row>
    <row r="92" spans="1:15" ht="11.25">
      <c r="A92" s="60"/>
      <c r="B92" s="111" t="s">
        <v>25</v>
      </c>
      <c r="C92" s="111"/>
      <c r="D92" s="111"/>
      <c r="E92" s="50"/>
      <c r="F92" s="50">
        <f>SUM($F84:$F91)</f>
        <v>163060</v>
      </c>
      <c r="G92" s="51">
        <f>SUM($G84:$G91)</f>
        <v>0.5012415824783107</v>
      </c>
      <c r="H92" s="48">
        <f>SUM(H84:H91)</f>
        <v>6170</v>
      </c>
      <c r="I92" s="63"/>
      <c r="J92" s="109" t="s">
        <v>249</v>
      </c>
      <c r="K92" s="109"/>
      <c r="L92" s="80">
        <v>0</v>
      </c>
      <c r="M92" s="71"/>
      <c r="N92" s="60"/>
      <c r="O92" s="60"/>
    </row>
    <row r="93" spans="1:15" ht="11.25">
      <c r="A93" s="60"/>
      <c r="B93" s="104" t="s">
        <v>242</v>
      </c>
      <c r="C93" s="104"/>
      <c r="D93" s="48"/>
      <c r="E93" s="48"/>
      <c r="F93" s="48">
        <v>17332.896154547416</v>
      </c>
      <c r="G93" s="62"/>
      <c r="H93" s="62"/>
      <c r="I93" s="63"/>
      <c r="J93" s="108" t="s">
        <v>254</v>
      </c>
      <c r="K93" s="108"/>
      <c r="L93" s="87">
        <v>-20000</v>
      </c>
      <c r="M93" s="60"/>
      <c r="N93" s="94">
        <v>37995</v>
      </c>
      <c r="O93" s="60"/>
    </row>
    <row r="94" spans="1:15" ht="11.25">
      <c r="A94" s="60"/>
      <c r="B94" s="52" t="s">
        <v>13</v>
      </c>
      <c r="C94" s="52"/>
      <c r="D94" s="48"/>
      <c r="E94" s="48"/>
      <c r="F94" s="48">
        <v>0</v>
      </c>
      <c r="G94" s="62"/>
      <c r="H94" s="62"/>
      <c r="I94" s="63"/>
      <c r="J94" s="109" t="s">
        <v>248</v>
      </c>
      <c r="K94" s="109"/>
      <c r="L94" s="80">
        <v>0</v>
      </c>
      <c r="M94" s="60"/>
      <c r="N94" s="60"/>
      <c r="O94" s="60"/>
    </row>
    <row r="95" spans="1:15" ht="11.25">
      <c r="A95" s="60"/>
      <c r="B95" s="104" t="s">
        <v>26</v>
      </c>
      <c r="C95" s="104"/>
      <c r="D95" s="48"/>
      <c r="E95" s="48"/>
      <c r="F95" s="48">
        <v>124919.3</v>
      </c>
      <c r="G95" s="62"/>
      <c r="H95" s="62">
        <f>SUM(F95:G95)</f>
        <v>124919.3</v>
      </c>
      <c r="I95" s="63"/>
      <c r="J95" s="110" t="s">
        <v>247</v>
      </c>
      <c r="K95" s="110"/>
      <c r="L95" s="86">
        <f>SUM(L88:L90,L92,L94)</f>
        <v>20546.505000000096</v>
      </c>
      <c r="M95" s="60"/>
      <c r="N95" s="60"/>
      <c r="O95" s="60"/>
    </row>
    <row r="96" spans="1:15" ht="11.25">
      <c r="A96" s="60"/>
      <c r="B96" s="52" t="s">
        <v>102</v>
      </c>
      <c r="C96" s="52"/>
      <c r="D96" s="48"/>
      <c r="E96" s="48"/>
      <c r="F96" s="48">
        <v>0</v>
      </c>
      <c r="G96" s="62"/>
      <c r="H96" s="62"/>
      <c r="I96" s="63"/>
      <c r="J96" s="55" t="s">
        <v>203</v>
      </c>
      <c r="K96" s="55"/>
      <c r="L96" s="50">
        <v>56869.73615454741</v>
      </c>
      <c r="M96" s="60"/>
      <c r="N96" s="60"/>
      <c r="O96" s="60"/>
    </row>
    <row r="97" spans="1:15" ht="11.25">
      <c r="A97" s="60"/>
      <c r="B97" s="104" t="s">
        <v>89</v>
      </c>
      <c r="C97" s="104"/>
      <c r="D97" s="48"/>
      <c r="E97" s="48"/>
      <c r="F97" s="48">
        <v>20000</v>
      </c>
      <c r="G97" s="62"/>
      <c r="H97" s="62"/>
      <c r="I97" s="63"/>
      <c r="J97" s="98" t="s">
        <v>118</v>
      </c>
      <c r="K97" s="98"/>
      <c r="L97" s="99">
        <f>SUM($L95:$L96)</f>
        <v>77416.2411545475</v>
      </c>
      <c r="M97" s="60"/>
      <c r="N97" s="60"/>
      <c r="O97" s="60"/>
    </row>
    <row r="98" spans="1:15" ht="13.5">
      <c r="A98" s="60"/>
      <c r="B98" s="105" t="s">
        <v>243</v>
      </c>
      <c r="C98" s="105"/>
      <c r="D98" s="105"/>
      <c r="E98" s="53"/>
      <c r="F98" s="50">
        <f>SUM($F93:$F97)</f>
        <v>162252.19615454742</v>
      </c>
      <c r="G98" s="51">
        <f>$F98/$F99</f>
        <v>0.49875841752168926</v>
      </c>
      <c r="H98" s="57">
        <f>H78+1</f>
        <v>37995</v>
      </c>
      <c r="I98" s="63"/>
      <c r="J98" s="106" t="s">
        <v>117</v>
      </c>
      <c r="K98" s="106"/>
      <c r="L98" s="85">
        <f>$F99+$L95+$L91+$L93</f>
        <v>325858.7011545475</v>
      </c>
      <c r="M98" s="60"/>
      <c r="N98" s="60"/>
      <c r="O98" s="60"/>
    </row>
    <row r="99" spans="1:15" ht="13.5">
      <c r="A99" s="60"/>
      <c r="B99" s="107" t="s">
        <v>15</v>
      </c>
      <c r="C99" s="107"/>
      <c r="D99" s="107"/>
      <c r="E99" s="54"/>
      <c r="F99" s="74">
        <f>SUM($F92,$F98)</f>
        <v>325312.1961545474</v>
      </c>
      <c r="G99" s="56">
        <f>SUM($G92,$G98)</f>
        <v>1</v>
      </c>
      <c r="H99" s="66"/>
      <c r="I99" s="63"/>
      <c r="J99" s="60"/>
      <c r="K99" s="60"/>
      <c r="L99" s="60"/>
      <c r="M99" s="60"/>
      <c r="N99" s="60"/>
      <c r="O99" s="60"/>
    </row>
    <row r="100" spans="1:15" ht="11.25">
      <c r="A100" s="60"/>
      <c r="B100" s="60"/>
      <c r="C100" s="60"/>
      <c r="D100" s="60"/>
      <c r="E100" s="60"/>
      <c r="F100" s="60"/>
      <c r="G100" s="66"/>
      <c r="H100" s="67"/>
      <c r="I100" s="63"/>
      <c r="J100" s="60"/>
      <c r="K100" s="60"/>
      <c r="L100" s="60"/>
      <c r="M100" s="60"/>
      <c r="N100" s="60"/>
      <c r="O100" s="60"/>
    </row>
    <row r="101" spans="1:15" ht="15.75">
      <c r="A101" s="60"/>
      <c r="B101" s="75"/>
      <c r="C101" s="75"/>
      <c r="D101" s="75"/>
      <c r="E101" s="76"/>
      <c r="F101" s="63"/>
      <c r="G101" s="77" t="s">
        <v>233</v>
      </c>
      <c r="H101" s="112">
        <f>H81+1</f>
        <v>37993</v>
      </c>
      <c r="I101" s="112"/>
      <c r="J101" s="112"/>
      <c r="K101" s="60"/>
      <c r="L101" s="60"/>
      <c r="M101" s="60"/>
      <c r="N101" s="60"/>
      <c r="O101" s="60"/>
    </row>
    <row r="102" spans="1:15" ht="11.25">
      <c r="A102" s="61"/>
      <c r="B102" s="113" t="s">
        <v>250</v>
      </c>
      <c r="C102" s="113"/>
      <c r="D102" s="113"/>
      <c r="E102" s="113"/>
      <c r="F102" s="113"/>
      <c r="G102" s="113"/>
      <c r="H102" s="113"/>
      <c r="I102" s="64"/>
      <c r="J102" s="68" t="s">
        <v>252</v>
      </c>
      <c r="K102" s="68"/>
      <c r="L102" s="47">
        <v>16967.852443668453</v>
      </c>
      <c r="M102" s="72"/>
      <c r="N102" s="73"/>
      <c r="O102" s="61"/>
    </row>
    <row r="103" spans="1:15" ht="11.25">
      <c r="A103" s="60"/>
      <c r="B103" s="45" t="s">
        <v>2</v>
      </c>
      <c r="C103" s="45" t="s">
        <v>4</v>
      </c>
      <c r="D103" s="45" t="s">
        <v>9</v>
      </c>
      <c r="E103" s="45" t="s">
        <v>10</v>
      </c>
      <c r="F103" s="45" t="s">
        <v>11</v>
      </c>
      <c r="G103" s="45" t="s">
        <v>12</v>
      </c>
      <c r="H103" s="45" t="s">
        <v>240</v>
      </c>
      <c r="I103" s="63"/>
      <c r="J103" s="68" t="s">
        <v>255</v>
      </c>
      <c r="K103" s="68"/>
      <c r="L103" s="81">
        <v>0</v>
      </c>
      <c r="M103" s="59" t="s">
        <v>251</v>
      </c>
      <c r="N103" s="83">
        <v>0</v>
      </c>
      <c r="O103" s="60"/>
    </row>
    <row r="104" spans="1:15" ht="11.25">
      <c r="A104" s="60"/>
      <c r="B104" s="46" t="s">
        <v>208</v>
      </c>
      <c r="C104" s="47">
        <v>300</v>
      </c>
      <c r="D104" s="48">
        <v>28.5</v>
      </c>
      <c r="E104" s="48">
        <v>31</v>
      </c>
      <c r="F104" s="48">
        <f>$C104*$E104</f>
        <v>9300</v>
      </c>
      <c r="G104" s="49">
        <f>$F104/$F119</f>
        <v>0.028675905087462143</v>
      </c>
      <c r="H104" s="48">
        <f>$F104-($C104*$D104)</f>
        <v>750</v>
      </c>
      <c r="I104" s="65"/>
      <c r="J104" s="68" t="s">
        <v>256</v>
      </c>
      <c r="K104" s="68"/>
      <c r="L104" s="81">
        <v>0</v>
      </c>
      <c r="M104" s="59" t="s">
        <v>251</v>
      </c>
      <c r="N104" s="97">
        <v>0</v>
      </c>
      <c r="O104" s="60"/>
    </row>
    <row r="105" spans="1:15" ht="11.25">
      <c r="A105" s="60"/>
      <c r="B105" s="46" t="s">
        <v>318</v>
      </c>
      <c r="C105" s="47">
        <v>300</v>
      </c>
      <c r="D105" s="48">
        <v>103.3</v>
      </c>
      <c r="E105" s="48">
        <v>104</v>
      </c>
      <c r="F105" s="48">
        <f>$C105*$E105</f>
        <v>31200</v>
      </c>
      <c r="G105" s="49">
        <f>$F105/$F119</f>
        <v>0.09620303642245365</v>
      </c>
      <c r="H105" s="48">
        <f>$F105-($C105*$D105)</f>
        <v>210</v>
      </c>
      <c r="I105" s="63"/>
      <c r="J105" s="78" t="s">
        <v>275</v>
      </c>
      <c r="K105" s="79"/>
      <c r="L105" s="82">
        <f>$L102-$L103+$L104</f>
        <v>16967.852443668453</v>
      </c>
      <c r="M105" s="60"/>
      <c r="N105" s="60"/>
      <c r="O105" s="60"/>
    </row>
    <row r="106" spans="1:15" ht="11.25">
      <c r="A106" s="60"/>
      <c r="B106" s="46" t="s">
        <v>200</v>
      </c>
      <c r="C106" s="47">
        <v>2000</v>
      </c>
      <c r="D106" s="48">
        <v>4.7</v>
      </c>
      <c r="E106" s="48">
        <v>4.46</v>
      </c>
      <c r="F106" s="48">
        <f>$C106*$E106</f>
        <v>8920</v>
      </c>
      <c r="G106" s="49">
        <f>$F106/$F119</f>
        <v>0.027504201438727133</v>
      </c>
      <c r="H106" s="48">
        <f>$F106-($C106*$D106)</f>
        <v>-480</v>
      </c>
      <c r="I106" s="65"/>
      <c r="J106" s="114" t="s">
        <v>24</v>
      </c>
      <c r="K106" s="114"/>
      <c r="L106" s="84">
        <f>$F119/$L105</f>
        <v>19.113443428797915</v>
      </c>
      <c r="M106" s="60"/>
      <c r="N106" s="60"/>
      <c r="O106" s="60"/>
    </row>
    <row r="107" spans="1:15" ht="11.25">
      <c r="A107" s="60"/>
      <c r="B107" s="46" t="s">
        <v>280</v>
      </c>
      <c r="C107" s="47">
        <v>300</v>
      </c>
      <c r="D107" s="48">
        <v>38.9</v>
      </c>
      <c r="E107" s="48">
        <v>39</v>
      </c>
      <c r="F107" s="48">
        <f>$C107*$E107</f>
        <v>11700</v>
      </c>
      <c r="G107" s="49">
        <f>$F107/$F119</f>
        <v>0.03607613865842012</v>
      </c>
      <c r="H107" s="48">
        <f>$F107-($C107*$D107)</f>
        <v>30</v>
      </c>
      <c r="I107" s="63"/>
      <c r="J107" s="115" t="s">
        <v>241</v>
      </c>
      <c r="K107" s="115"/>
      <c r="L107" s="115"/>
      <c r="M107" s="60"/>
      <c r="N107" s="60"/>
      <c r="O107" s="60"/>
    </row>
    <row r="108" spans="1:15" ht="11.25">
      <c r="A108" s="60"/>
      <c r="B108" s="46"/>
      <c r="C108" s="47"/>
      <c r="D108" s="48"/>
      <c r="E108" s="48"/>
      <c r="F108" s="48"/>
      <c r="G108" s="49"/>
      <c r="H108" s="48"/>
      <c r="I108" s="63"/>
      <c r="J108" s="69" t="s">
        <v>246</v>
      </c>
      <c r="K108" s="70"/>
      <c r="L108" s="100">
        <v>20546.505000000096</v>
      </c>
      <c r="M108" s="60"/>
      <c r="N108" s="60"/>
      <c r="O108" s="60"/>
    </row>
    <row r="109" spans="1:15" ht="11.25">
      <c r="A109" s="60"/>
      <c r="B109" s="46"/>
      <c r="C109" s="47"/>
      <c r="D109" s="48"/>
      <c r="E109" s="48"/>
      <c r="F109" s="48"/>
      <c r="G109" s="49"/>
      <c r="H109" s="48"/>
      <c r="I109" s="65"/>
      <c r="J109" s="109" t="s">
        <v>244</v>
      </c>
      <c r="K109" s="109"/>
      <c r="L109" s="80">
        <v>0</v>
      </c>
      <c r="M109" s="60"/>
      <c r="N109" s="60"/>
      <c r="O109" s="60"/>
    </row>
    <row r="110" spans="1:15" ht="11.25">
      <c r="A110" s="60"/>
      <c r="B110" s="46"/>
      <c r="C110" s="47"/>
      <c r="D110" s="48"/>
      <c r="E110" s="48"/>
      <c r="F110" s="48"/>
      <c r="G110" s="49"/>
      <c r="H110" s="48"/>
      <c r="I110" s="63"/>
      <c r="J110" s="109" t="s">
        <v>245</v>
      </c>
      <c r="K110" s="109"/>
      <c r="L110" s="80">
        <v>0</v>
      </c>
      <c r="M110" s="60"/>
      <c r="N110" s="60"/>
      <c r="O110" s="60"/>
    </row>
    <row r="111" spans="1:15" ht="11.25">
      <c r="A111" s="60"/>
      <c r="B111" s="46"/>
      <c r="C111" s="47"/>
      <c r="D111" s="48"/>
      <c r="E111" s="48"/>
      <c r="F111" s="48"/>
      <c r="G111" s="49"/>
      <c r="H111" s="48"/>
      <c r="I111" s="65"/>
      <c r="J111" s="108" t="s">
        <v>253</v>
      </c>
      <c r="K111" s="108"/>
      <c r="L111" s="87">
        <f>$L103*$N103</f>
        <v>0</v>
      </c>
      <c r="M111" s="60"/>
      <c r="N111" s="58"/>
      <c r="O111" s="60"/>
    </row>
    <row r="112" spans="1:15" ht="11.25">
      <c r="A112" s="60"/>
      <c r="B112" s="111" t="s">
        <v>25</v>
      </c>
      <c r="C112" s="111"/>
      <c r="D112" s="111"/>
      <c r="E112" s="50"/>
      <c r="F112" s="50">
        <f>SUM($F104:$F111)</f>
        <v>61120</v>
      </c>
      <c r="G112" s="51">
        <f>SUM($G104:$G111)</f>
        <v>0.18845928160706304</v>
      </c>
      <c r="H112" s="48">
        <f>SUM(H104:H111)</f>
        <v>510</v>
      </c>
      <c r="I112" s="63"/>
      <c r="J112" s="109" t="s">
        <v>249</v>
      </c>
      <c r="K112" s="109"/>
      <c r="L112" s="80">
        <v>0</v>
      </c>
      <c r="M112" s="71"/>
      <c r="N112" s="60"/>
      <c r="O112" s="60"/>
    </row>
    <row r="113" spans="1:15" ht="11.25">
      <c r="A113" s="60"/>
      <c r="B113" s="104" t="s">
        <v>242</v>
      </c>
      <c r="C113" s="104"/>
      <c r="D113" s="48"/>
      <c r="E113" s="48"/>
      <c r="F113" s="48">
        <v>162252.19615454742</v>
      </c>
      <c r="G113" s="62"/>
      <c r="H113" s="62"/>
      <c r="I113" s="63"/>
      <c r="J113" s="108" t="s">
        <v>254</v>
      </c>
      <c r="K113" s="108"/>
      <c r="L113" s="87">
        <v>-20000</v>
      </c>
      <c r="M113" s="60"/>
      <c r="N113" s="94">
        <v>37995</v>
      </c>
      <c r="O113" s="60"/>
    </row>
    <row r="114" spans="1:15" ht="11.25">
      <c r="A114" s="60"/>
      <c r="B114" s="52" t="s">
        <v>13</v>
      </c>
      <c r="C114" s="52"/>
      <c r="D114" s="48"/>
      <c r="E114" s="48"/>
      <c r="F114" s="48">
        <v>0</v>
      </c>
      <c r="G114" s="62"/>
      <c r="H114" s="62"/>
      <c r="I114" s="63"/>
      <c r="J114" s="109" t="s">
        <v>248</v>
      </c>
      <c r="K114" s="109"/>
      <c r="L114" s="80">
        <v>0</v>
      </c>
      <c r="M114" s="60"/>
      <c r="N114" s="60"/>
      <c r="O114" s="60"/>
    </row>
    <row r="115" spans="1:15" ht="11.25">
      <c r="A115" s="60"/>
      <c r="B115" s="104" t="s">
        <v>26</v>
      </c>
      <c r="C115" s="104"/>
      <c r="D115" s="48"/>
      <c r="E115" s="48"/>
      <c r="F115" s="48">
        <v>100941.8916357</v>
      </c>
      <c r="G115" s="62"/>
      <c r="H115" s="62">
        <f>SUM(F115:G115)</f>
        <v>100941.8916357</v>
      </c>
      <c r="I115" s="63"/>
      <c r="J115" s="110" t="s">
        <v>247</v>
      </c>
      <c r="K115" s="110"/>
      <c r="L115" s="86">
        <f>SUM(L108:L110,L112,L114)</f>
        <v>20546.505000000096</v>
      </c>
      <c r="M115" s="60"/>
      <c r="N115" s="60"/>
      <c r="O115" s="60"/>
    </row>
    <row r="116" spans="1:15" ht="11.25">
      <c r="A116" s="60"/>
      <c r="B116" s="52" t="s">
        <v>102</v>
      </c>
      <c r="C116" s="52"/>
      <c r="D116" s="48"/>
      <c r="E116" s="48"/>
      <c r="F116" s="48">
        <v>0</v>
      </c>
      <c r="G116" s="62"/>
      <c r="H116" s="62"/>
      <c r="I116" s="63"/>
      <c r="J116" s="55" t="s">
        <v>203</v>
      </c>
      <c r="K116" s="55"/>
      <c r="L116" s="50">
        <v>21780.636154547414</v>
      </c>
      <c r="M116" s="60"/>
      <c r="N116" s="60"/>
      <c r="O116" s="60"/>
    </row>
    <row r="117" spans="1:15" ht="11.25">
      <c r="A117" s="60"/>
      <c r="B117" s="104" t="s">
        <v>89</v>
      </c>
      <c r="C117" s="104"/>
      <c r="D117" s="48"/>
      <c r="E117" s="48"/>
      <c r="F117" s="48">
        <v>0</v>
      </c>
      <c r="G117" s="62"/>
      <c r="H117" s="62"/>
      <c r="I117" s="63"/>
      <c r="J117" s="98" t="s">
        <v>118</v>
      </c>
      <c r="K117" s="98"/>
      <c r="L117" s="99">
        <f>SUM($L115:$L116)</f>
        <v>42327.14115454751</v>
      </c>
      <c r="M117" s="60"/>
      <c r="N117" s="60"/>
      <c r="O117" s="60"/>
    </row>
    <row r="118" spans="1:15" ht="13.5">
      <c r="A118" s="60"/>
      <c r="B118" s="105" t="s">
        <v>243</v>
      </c>
      <c r="C118" s="105"/>
      <c r="D118" s="105"/>
      <c r="E118" s="53"/>
      <c r="F118" s="50">
        <f>SUM($F113:$F117)</f>
        <v>263194.0877902474</v>
      </c>
      <c r="G118" s="51">
        <f>$F118/$F119</f>
        <v>0.811540718392937</v>
      </c>
      <c r="H118" s="57">
        <f>H98+3</f>
        <v>37998</v>
      </c>
      <c r="I118" s="63"/>
      <c r="J118" s="106" t="s">
        <v>117</v>
      </c>
      <c r="K118" s="106"/>
      <c r="L118" s="85">
        <f>$F119+$L115+$L111+$L113</f>
        <v>324860.5927902475</v>
      </c>
      <c r="M118" s="60"/>
      <c r="N118" s="60"/>
      <c r="O118" s="60"/>
    </row>
    <row r="119" spans="1:15" ht="13.5">
      <c r="A119" s="60"/>
      <c r="B119" s="107" t="s">
        <v>15</v>
      </c>
      <c r="C119" s="107"/>
      <c r="D119" s="107"/>
      <c r="E119" s="54"/>
      <c r="F119" s="74">
        <f>SUM($F112,$F118)</f>
        <v>324314.0877902474</v>
      </c>
      <c r="G119" s="56">
        <f>SUM($G112,$G118)</f>
        <v>1</v>
      </c>
      <c r="H119" s="66"/>
      <c r="I119" s="63"/>
      <c r="J119" s="60"/>
      <c r="K119" s="60"/>
      <c r="L119" s="60"/>
      <c r="M119" s="60"/>
      <c r="N119" s="60"/>
      <c r="O119" s="60"/>
    </row>
    <row r="120" spans="1:15" ht="11.25">
      <c r="A120" s="60"/>
      <c r="B120" s="60"/>
      <c r="C120" s="60"/>
      <c r="D120" s="60"/>
      <c r="E120" s="60"/>
      <c r="F120" s="60"/>
      <c r="G120" s="66"/>
      <c r="H120" s="67"/>
      <c r="I120" s="63"/>
      <c r="J120" s="60"/>
      <c r="K120" s="60"/>
      <c r="L120" s="60"/>
      <c r="M120" s="60"/>
      <c r="N120" s="60"/>
      <c r="O120" s="60"/>
    </row>
    <row r="121" spans="1:15" ht="15.75">
      <c r="A121" s="60"/>
      <c r="B121" s="75"/>
      <c r="C121" s="75"/>
      <c r="D121" s="75"/>
      <c r="E121" s="76"/>
      <c r="F121" s="63"/>
      <c r="G121" s="77" t="s">
        <v>235</v>
      </c>
      <c r="H121" s="112">
        <f>H101+1</f>
        <v>37994</v>
      </c>
      <c r="I121" s="112"/>
      <c r="J121" s="112"/>
      <c r="K121" s="60"/>
      <c r="L121" s="60"/>
      <c r="M121" s="60"/>
      <c r="N121" s="60"/>
      <c r="O121" s="60"/>
    </row>
    <row r="122" spans="1:15" ht="11.25">
      <c r="A122" s="61"/>
      <c r="B122" s="113" t="s">
        <v>250</v>
      </c>
      <c r="C122" s="113"/>
      <c r="D122" s="113"/>
      <c r="E122" s="113"/>
      <c r="F122" s="113"/>
      <c r="G122" s="113"/>
      <c r="H122" s="113"/>
      <c r="I122" s="64"/>
      <c r="J122" s="68" t="s">
        <v>252</v>
      </c>
      <c r="K122" s="68"/>
      <c r="L122" s="47">
        <v>16967.852443668453</v>
      </c>
      <c r="M122" s="72"/>
      <c r="N122" s="73"/>
      <c r="O122" s="61"/>
    </row>
    <row r="123" spans="1:15" ht="11.25">
      <c r="A123" s="60"/>
      <c r="B123" s="45" t="s">
        <v>2</v>
      </c>
      <c r="C123" s="45" t="s">
        <v>4</v>
      </c>
      <c r="D123" s="45" t="s">
        <v>9</v>
      </c>
      <c r="E123" s="45" t="s">
        <v>10</v>
      </c>
      <c r="F123" s="45" t="s">
        <v>11</v>
      </c>
      <c r="G123" s="45" t="s">
        <v>12</v>
      </c>
      <c r="H123" s="45" t="s">
        <v>240</v>
      </c>
      <c r="I123" s="63"/>
      <c r="J123" s="68" t="s">
        <v>255</v>
      </c>
      <c r="K123" s="68"/>
      <c r="L123" s="81">
        <v>0</v>
      </c>
      <c r="M123" s="59" t="s">
        <v>251</v>
      </c>
      <c r="N123" s="83">
        <v>0</v>
      </c>
      <c r="O123" s="60"/>
    </row>
    <row r="124" spans="1:15" ht="11.25">
      <c r="A124" s="60"/>
      <c r="B124" s="46" t="s">
        <v>208</v>
      </c>
      <c r="C124" s="47">
        <v>300</v>
      </c>
      <c r="D124" s="48">
        <v>28.5</v>
      </c>
      <c r="E124" s="48">
        <v>29</v>
      </c>
      <c r="F124" s="48">
        <f>$C124*$E124</f>
        <v>8700</v>
      </c>
      <c r="G124" s="49">
        <f>$F124/$F139</f>
        <v>0.026815579824820277</v>
      </c>
      <c r="H124" s="48">
        <f>$F124-($C124*$D124)</f>
        <v>150</v>
      </c>
      <c r="I124" s="65"/>
      <c r="J124" s="68" t="s">
        <v>256</v>
      </c>
      <c r="K124" s="68"/>
      <c r="L124" s="81">
        <v>0</v>
      </c>
      <c r="M124" s="59" t="s">
        <v>251</v>
      </c>
      <c r="N124" s="97">
        <v>0</v>
      </c>
      <c r="O124" s="60"/>
    </row>
    <row r="125" spans="1:15" ht="11.25">
      <c r="A125" s="60"/>
      <c r="B125" s="46" t="s">
        <v>318</v>
      </c>
      <c r="C125" s="47">
        <v>300</v>
      </c>
      <c r="D125" s="48">
        <v>103.3</v>
      </c>
      <c r="E125" s="48">
        <v>104</v>
      </c>
      <c r="F125" s="48">
        <f>$C125*$E125</f>
        <v>31200</v>
      </c>
      <c r="G125" s="49">
        <f>$F125/$F139</f>
        <v>0.09616621730280375</v>
      </c>
      <c r="H125" s="48">
        <f>$F125-($C125*$D125)</f>
        <v>210</v>
      </c>
      <c r="I125" s="63"/>
      <c r="J125" s="78" t="s">
        <v>275</v>
      </c>
      <c r="K125" s="79"/>
      <c r="L125" s="82">
        <f>$L122-$L123+$L124</f>
        <v>16967.852443668453</v>
      </c>
      <c r="M125" s="60"/>
      <c r="N125" s="60"/>
      <c r="O125" s="60"/>
    </row>
    <row r="126" spans="1:15" ht="11.25">
      <c r="A126" s="60"/>
      <c r="B126" s="46" t="s">
        <v>200</v>
      </c>
      <c r="C126" s="47">
        <v>2000</v>
      </c>
      <c r="D126" s="48">
        <v>4.7</v>
      </c>
      <c r="E126" s="48">
        <v>4.32</v>
      </c>
      <c r="F126" s="48">
        <f>$C126*$E126</f>
        <v>8640</v>
      </c>
      <c r="G126" s="49">
        <f>$F126/$F139</f>
        <v>0.026630644791545657</v>
      </c>
      <c r="H126" s="48">
        <f>$F126-($C126*$D126)</f>
        <v>-760</v>
      </c>
      <c r="I126" s="65"/>
      <c r="J126" s="114" t="s">
        <v>24</v>
      </c>
      <c r="K126" s="114"/>
      <c r="L126" s="84">
        <f>$F139/$L125</f>
        <v>19.12076138493952</v>
      </c>
      <c r="M126" s="60"/>
      <c r="N126" s="60"/>
      <c r="O126" s="60"/>
    </row>
    <row r="127" spans="1:15" ht="11.25">
      <c r="A127" s="60"/>
      <c r="B127" s="46" t="s">
        <v>280</v>
      </c>
      <c r="C127" s="47">
        <v>700</v>
      </c>
      <c r="D127" s="48">
        <v>40.6</v>
      </c>
      <c r="E127" s="48">
        <v>41</v>
      </c>
      <c r="F127" s="48">
        <f>$C127*$E127</f>
        <v>28700</v>
      </c>
      <c r="G127" s="49">
        <f>$F127/$F139</f>
        <v>0.08846059091636115</v>
      </c>
      <c r="H127" s="48">
        <f>$F127-($C127*$D127)</f>
        <v>280</v>
      </c>
      <c r="I127" s="63"/>
      <c r="J127" s="115" t="s">
        <v>241</v>
      </c>
      <c r="K127" s="115"/>
      <c r="L127" s="115"/>
      <c r="M127" s="60"/>
      <c r="N127" s="60"/>
      <c r="O127" s="60"/>
    </row>
    <row r="128" spans="1:15" ht="11.25">
      <c r="A128" s="60"/>
      <c r="B128" s="46"/>
      <c r="C128" s="47"/>
      <c r="D128" s="48"/>
      <c r="E128" s="48"/>
      <c r="F128" s="48"/>
      <c r="G128" s="49"/>
      <c r="H128" s="48"/>
      <c r="I128" s="63"/>
      <c r="J128" s="69" t="s">
        <v>246</v>
      </c>
      <c r="K128" s="70"/>
      <c r="L128" s="100">
        <v>20546.505000000096</v>
      </c>
      <c r="M128" s="60"/>
      <c r="N128" s="60"/>
      <c r="O128" s="60"/>
    </row>
    <row r="129" spans="1:15" ht="11.25">
      <c r="A129" s="60"/>
      <c r="B129" s="46"/>
      <c r="C129" s="47"/>
      <c r="D129" s="48"/>
      <c r="E129" s="48"/>
      <c r="F129" s="48"/>
      <c r="G129" s="49"/>
      <c r="H129" s="48"/>
      <c r="I129" s="65"/>
      <c r="J129" s="109" t="s">
        <v>244</v>
      </c>
      <c r="K129" s="109"/>
      <c r="L129" s="80">
        <v>0</v>
      </c>
      <c r="M129" s="60"/>
      <c r="N129" s="60"/>
      <c r="O129" s="60"/>
    </row>
    <row r="130" spans="1:15" ht="11.25">
      <c r="A130" s="60"/>
      <c r="B130" s="46"/>
      <c r="C130" s="47"/>
      <c r="D130" s="48"/>
      <c r="E130" s="48"/>
      <c r="F130" s="48"/>
      <c r="G130" s="49"/>
      <c r="H130" s="48"/>
      <c r="I130" s="63"/>
      <c r="J130" s="109" t="s">
        <v>245</v>
      </c>
      <c r="K130" s="109"/>
      <c r="L130" s="80">
        <v>0</v>
      </c>
      <c r="M130" s="60"/>
      <c r="N130" s="60"/>
      <c r="O130" s="60"/>
    </row>
    <row r="131" spans="1:15" ht="11.25">
      <c r="A131" s="60"/>
      <c r="B131" s="46"/>
      <c r="C131" s="47"/>
      <c r="D131" s="48"/>
      <c r="E131" s="48"/>
      <c r="F131" s="48"/>
      <c r="G131" s="49"/>
      <c r="H131" s="48"/>
      <c r="I131" s="65"/>
      <c r="J131" s="108" t="s">
        <v>253</v>
      </c>
      <c r="K131" s="108"/>
      <c r="L131" s="87">
        <f>$L123*$N123</f>
        <v>0</v>
      </c>
      <c r="M131" s="60"/>
      <c r="N131" s="58"/>
      <c r="O131" s="60"/>
    </row>
    <row r="132" spans="1:15" ht="11.25">
      <c r="A132" s="60"/>
      <c r="B132" s="111" t="s">
        <v>25</v>
      </c>
      <c r="C132" s="111"/>
      <c r="D132" s="111"/>
      <c r="E132" s="50"/>
      <c r="F132" s="50">
        <f>SUM($F124:$F131)</f>
        <v>77240</v>
      </c>
      <c r="G132" s="51">
        <f>SUM($G124:$G131)</f>
        <v>0.23807303283553083</v>
      </c>
      <c r="H132" s="48">
        <f>SUM(H124:H131)</f>
        <v>-120</v>
      </c>
      <c r="I132" s="63"/>
      <c r="J132" s="109" t="s">
        <v>249</v>
      </c>
      <c r="K132" s="109"/>
      <c r="L132" s="80">
        <v>0</v>
      </c>
      <c r="M132" s="71"/>
      <c r="N132" s="60"/>
      <c r="O132" s="60"/>
    </row>
    <row r="133" spans="1:15" ht="11.25">
      <c r="A133" s="60"/>
      <c r="B133" s="104" t="s">
        <v>242</v>
      </c>
      <c r="C133" s="104"/>
      <c r="D133" s="48"/>
      <c r="E133" s="48"/>
      <c r="F133" s="48">
        <v>263194.0877902474</v>
      </c>
      <c r="G133" s="62"/>
      <c r="H133" s="62"/>
      <c r="I133" s="63"/>
      <c r="J133" s="108" t="s">
        <v>254</v>
      </c>
      <c r="K133" s="108"/>
      <c r="L133" s="87">
        <v>-20000</v>
      </c>
      <c r="M133" s="60"/>
      <c r="N133" s="94">
        <v>37995</v>
      </c>
      <c r="O133" s="60"/>
    </row>
    <row r="134" spans="1:15" ht="11.25">
      <c r="A134" s="60"/>
      <c r="B134" s="52" t="s">
        <v>13</v>
      </c>
      <c r="C134" s="52"/>
      <c r="D134" s="48"/>
      <c r="E134" s="48"/>
      <c r="F134" s="48">
        <v>-15995.83</v>
      </c>
      <c r="G134" s="62"/>
      <c r="H134" s="62"/>
      <c r="I134" s="63"/>
      <c r="J134" s="109" t="s">
        <v>248</v>
      </c>
      <c r="K134" s="109"/>
      <c r="L134" s="80">
        <v>0</v>
      </c>
      <c r="M134" s="60"/>
      <c r="N134" s="60"/>
      <c r="O134" s="60"/>
    </row>
    <row r="135" spans="1:15" ht="11.25">
      <c r="A135" s="60"/>
      <c r="B135" s="104" t="s">
        <v>26</v>
      </c>
      <c r="C135" s="104"/>
      <c r="D135" s="48"/>
      <c r="E135" s="48"/>
      <c r="F135" s="48">
        <v>0</v>
      </c>
      <c r="G135" s="62"/>
      <c r="H135" s="62">
        <f>SUM(F135:G135)</f>
        <v>0</v>
      </c>
      <c r="I135" s="63"/>
      <c r="J135" s="110" t="s">
        <v>247</v>
      </c>
      <c r="K135" s="110"/>
      <c r="L135" s="86">
        <f>SUM(L128:L130,L132,L134)</f>
        <v>20546.505000000096</v>
      </c>
      <c r="M135" s="60"/>
      <c r="N135" s="60"/>
      <c r="O135" s="60"/>
    </row>
    <row r="136" spans="1:15" ht="11.25">
      <c r="A136" s="60"/>
      <c r="B136" s="52" t="s">
        <v>102</v>
      </c>
      <c r="C136" s="52"/>
      <c r="D136" s="48"/>
      <c r="E136" s="48"/>
      <c r="F136" s="48">
        <v>0</v>
      </c>
      <c r="G136" s="62"/>
      <c r="H136" s="62"/>
      <c r="I136" s="63"/>
      <c r="J136" s="55" t="s">
        <v>203</v>
      </c>
      <c r="K136" s="55"/>
      <c r="L136" s="50">
        <v>17332.896154547416</v>
      </c>
      <c r="M136" s="60"/>
      <c r="N136" s="60"/>
      <c r="O136" s="60"/>
    </row>
    <row r="137" spans="1:15" ht="11.25">
      <c r="A137" s="60"/>
      <c r="B137" s="104" t="s">
        <v>89</v>
      </c>
      <c r="C137" s="104"/>
      <c r="D137" s="48"/>
      <c r="E137" s="48"/>
      <c r="F137" s="48">
        <v>0</v>
      </c>
      <c r="G137" s="62"/>
      <c r="H137" s="62"/>
      <c r="I137" s="63"/>
      <c r="J137" s="98" t="s">
        <v>118</v>
      </c>
      <c r="K137" s="98"/>
      <c r="L137" s="99">
        <f>SUM($L135:$L136)</f>
        <v>37879.40115454751</v>
      </c>
      <c r="M137" s="60"/>
      <c r="N137" s="60"/>
      <c r="O137" s="60"/>
    </row>
    <row r="138" spans="1:15" ht="13.5">
      <c r="A138" s="60"/>
      <c r="B138" s="105" t="s">
        <v>243</v>
      </c>
      <c r="C138" s="105"/>
      <c r="D138" s="105"/>
      <c r="E138" s="53"/>
      <c r="F138" s="50">
        <f>SUM($F133:$F137)</f>
        <v>247198.25779024741</v>
      </c>
      <c r="G138" s="51">
        <f>$F138/$F139</f>
        <v>0.7619269671644691</v>
      </c>
      <c r="H138" s="57">
        <f>H118+1</f>
        <v>37999</v>
      </c>
      <c r="I138" s="63"/>
      <c r="J138" s="106" t="s">
        <v>117</v>
      </c>
      <c r="K138" s="106"/>
      <c r="L138" s="85">
        <f>$F139+$L135+$L131+$L133</f>
        <v>324984.76279024757</v>
      </c>
      <c r="M138" s="60"/>
      <c r="N138" s="60"/>
      <c r="O138" s="60"/>
    </row>
    <row r="139" spans="1:15" ht="13.5">
      <c r="A139" s="60"/>
      <c r="B139" s="107" t="s">
        <v>15</v>
      </c>
      <c r="C139" s="107"/>
      <c r="D139" s="107"/>
      <c r="E139" s="54"/>
      <c r="F139" s="74">
        <f>SUM($F132,$F138)</f>
        <v>324438.25779024744</v>
      </c>
      <c r="G139" s="56">
        <f>SUM($G132,$G138)</f>
        <v>0.9999999999999999</v>
      </c>
      <c r="H139" s="66"/>
      <c r="I139" s="63"/>
      <c r="J139" s="60"/>
      <c r="K139" s="60"/>
      <c r="L139" s="60"/>
      <c r="M139" s="60"/>
      <c r="N139" s="60"/>
      <c r="O139" s="60"/>
    </row>
    <row r="140" spans="1:15" ht="11.25">
      <c r="A140" s="60"/>
      <c r="B140" s="60"/>
      <c r="C140" s="60"/>
      <c r="D140" s="60"/>
      <c r="E140" s="60"/>
      <c r="F140" s="60"/>
      <c r="G140" s="66"/>
      <c r="H140" s="67"/>
      <c r="I140" s="63"/>
      <c r="J140" s="60"/>
      <c r="K140" s="60"/>
      <c r="L140" s="60"/>
      <c r="M140" s="60"/>
      <c r="N140" s="60"/>
      <c r="O140" s="60"/>
    </row>
    <row r="141" spans="1:15" ht="15.75">
      <c r="A141" s="60"/>
      <c r="B141" s="75"/>
      <c r="C141" s="75"/>
      <c r="D141" s="75"/>
      <c r="E141" s="76"/>
      <c r="F141" s="63"/>
      <c r="G141" s="77" t="s">
        <v>237</v>
      </c>
      <c r="H141" s="112">
        <f>H121+1</f>
        <v>37995</v>
      </c>
      <c r="I141" s="112"/>
      <c r="J141" s="112"/>
      <c r="K141" s="60"/>
      <c r="L141" s="60"/>
      <c r="M141" s="60"/>
      <c r="N141" s="60"/>
      <c r="O141" s="60"/>
    </row>
    <row r="142" spans="1:15" ht="11.25">
      <c r="A142" s="61"/>
      <c r="B142" s="113" t="s">
        <v>250</v>
      </c>
      <c r="C142" s="113"/>
      <c r="D142" s="113"/>
      <c r="E142" s="113"/>
      <c r="F142" s="113"/>
      <c r="G142" s="113"/>
      <c r="H142" s="113"/>
      <c r="I142" s="64"/>
      <c r="J142" s="68" t="s">
        <v>252</v>
      </c>
      <c r="K142" s="68"/>
      <c r="L142" s="47">
        <v>16967.852443668453</v>
      </c>
      <c r="M142" s="72"/>
      <c r="N142" s="73"/>
      <c r="O142" s="61"/>
    </row>
    <row r="143" spans="1:15" ht="11.25">
      <c r="A143" s="60"/>
      <c r="B143" s="45" t="s">
        <v>2</v>
      </c>
      <c r="C143" s="45" t="s">
        <v>4</v>
      </c>
      <c r="D143" s="45" t="s">
        <v>9</v>
      </c>
      <c r="E143" s="45" t="s">
        <v>10</v>
      </c>
      <c r="F143" s="45" t="s">
        <v>11</v>
      </c>
      <c r="G143" s="45" t="s">
        <v>12</v>
      </c>
      <c r="H143" s="45" t="s">
        <v>240</v>
      </c>
      <c r="I143" s="63"/>
      <c r="J143" s="68" t="s">
        <v>255</v>
      </c>
      <c r="K143" s="68"/>
      <c r="L143" s="81">
        <v>0</v>
      </c>
      <c r="M143" s="59" t="s">
        <v>251</v>
      </c>
      <c r="N143" s="83">
        <v>0</v>
      </c>
      <c r="O143" s="60"/>
    </row>
    <row r="144" spans="1:15" ht="11.25">
      <c r="A144" s="60"/>
      <c r="B144" s="46" t="s">
        <v>208</v>
      </c>
      <c r="C144" s="47">
        <v>300</v>
      </c>
      <c r="D144" s="48">
        <v>28.5</v>
      </c>
      <c r="E144" s="48">
        <v>28</v>
      </c>
      <c r="F144" s="48">
        <f>$C144*$E144</f>
        <v>8400</v>
      </c>
      <c r="G144" s="49">
        <f>$F144/$F159</f>
        <v>0.026000385107346046</v>
      </c>
      <c r="H144" s="48">
        <f>$F144-($C144*$D144)</f>
        <v>-150</v>
      </c>
      <c r="I144" s="65"/>
      <c r="J144" s="68" t="s">
        <v>256</v>
      </c>
      <c r="K144" s="68"/>
      <c r="L144" s="81">
        <v>0</v>
      </c>
      <c r="M144" s="59" t="s">
        <v>251</v>
      </c>
      <c r="N144" s="97">
        <v>0</v>
      </c>
      <c r="O144" s="60"/>
    </row>
    <row r="145" spans="1:15" ht="11.25">
      <c r="A145" s="60"/>
      <c r="B145" s="46" t="s">
        <v>318</v>
      </c>
      <c r="C145" s="47">
        <v>400</v>
      </c>
      <c r="D145" s="48">
        <v>103.3</v>
      </c>
      <c r="E145" s="48">
        <v>104</v>
      </c>
      <c r="F145" s="48">
        <f>$C145*$E145</f>
        <v>41600</v>
      </c>
      <c r="G145" s="49">
        <f>$F145/$F159</f>
        <v>0.12876381196018996</v>
      </c>
      <c r="H145" s="48">
        <f>$F145-($C145*$D145)</f>
        <v>280</v>
      </c>
      <c r="I145" s="63"/>
      <c r="J145" s="78" t="s">
        <v>275</v>
      </c>
      <c r="K145" s="79"/>
      <c r="L145" s="82">
        <f>$L142-$L143+$L144</f>
        <v>16967.852443668453</v>
      </c>
      <c r="M145" s="60"/>
      <c r="N145" s="60"/>
      <c r="O145" s="60"/>
    </row>
    <row r="146" spans="1:15" ht="11.25">
      <c r="A146" s="60"/>
      <c r="B146" s="46" t="s">
        <v>200</v>
      </c>
      <c r="C146" s="47">
        <v>2000</v>
      </c>
      <c r="D146" s="48">
        <v>4.7</v>
      </c>
      <c r="E146" s="48">
        <v>4.34</v>
      </c>
      <c r="F146" s="48">
        <f>$C146*$E146</f>
        <v>8680</v>
      </c>
      <c r="G146" s="49">
        <f>$F146/$F159</f>
        <v>0.026867064610924248</v>
      </c>
      <c r="H146" s="48">
        <f>$F146-($C146*$D146)</f>
        <v>-720</v>
      </c>
      <c r="I146" s="65"/>
      <c r="J146" s="114" t="s">
        <v>24</v>
      </c>
      <c r="K146" s="114"/>
      <c r="L146" s="84">
        <f>$F159/$L145</f>
        <v>19.040249133637516</v>
      </c>
      <c r="M146" s="60"/>
      <c r="N146" s="60"/>
      <c r="O146" s="60"/>
    </row>
    <row r="147" spans="1:15" ht="11.25">
      <c r="A147" s="60"/>
      <c r="B147" s="46" t="s">
        <v>23</v>
      </c>
      <c r="C147" s="47">
        <v>1000</v>
      </c>
      <c r="D147" s="48">
        <v>12</v>
      </c>
      <c r="E147" s="48">
        <v>11.5</v>
      </c>
      <c r="F147" s="48">
        <f>$C147*$E147</f>
        <v>11500</v>
      </c>
      <c r="G147" s="49">
        <f>$F147/$F159</f>
        <v>0.03559576532553328</v>
      </c>
      <c r="H147" s="48">
        <f>$F147-($C147*$D147)</f>
        <v>-500</v>
      </c>
      <c r="I147" s="63"/>
      <c r="J147" s="115" t="s">
        <v>241</v>
      </c>
      <c r="K147" s="115"/>
      <c r="L147" s="115"/>
      <c r="M147" s="60"/>
      <c r="N147" s="60"/>
      <c r="O147" s="60"/>
    </row>
    <row r="148" spans="1:15" ht="11.25">
      <c r="A148" s="60"/>
      <c r="B148" s="46" t="s">
        <v>329</v>
      </c>
      <c r="C148" s="47">
        <v>1000</v>
      </c>
      <c r="D148" s="48">
        <v>26.7</v>
      </c>
      <c r="E148" s="48">
        <v>26.25</v>
      </c>
      <c r="F148" s="48">
        <f>$C148*$E148</f>
        <v>26250</v>
      </c>
      <c r="G148" s="49">
        <f>$F148/$F159</f>
        <v>0.0812512034604564</v>
      </c>
      <c r="H148" s="48">
        <f>$F148-($C148*$D148)</f>
        <v>-450</v>
      </c>
      <c r="I148" s="63"/>
      <c r="J148" s="69" t="s">
        <v>246</v>
      </c>
      <c r="K148" s="70"/>
      <c r="L148" s="100">
        <v>20546.505000000096</v>
      </c>
      <c r="M148" s="60"/>
      <c r="N148" s="60"/>
      <c r="O148" s="60"/>
    </row>
    <row r="149" spans="1:15" ht="11.25">
      <c r="A149" s="60"/>
      <c r="B149" s="46"/>
      <c r="C149" s="47"/>
      <c r="D149" s="48"/>
      <c r="E149" s="48"/>
      <c r="F149" s="48"/>
      <c r="G149" s="49"/>
      <c r="H149" s="48"/>
      <c r="I149" s="65"/>
      <c r="J149" s="109" t="s">
        <v>244</v>
      </c>
      <c r="K149" s="109"/>
      <c r="L149" s="80">
        <v>0</v>
      </c>
      <c r="M149" s="60"/>
      <c r="N149" s="60"/>
      <c r="O149" s="60"/>
    </row>
    <row r="150" spans="1:15" ht="11.25">
      <c r="A150" s="60"/>
      <c r="B150" s="46"/>
      <c r="C150" s="47"/>
      <c r="D150" s="48"/>
      <c r="E150" s="48"/>
      <c r="F150" s="48"/>
      <c r="G150" s="49"/>
      <c r="H150" s="48"/>
      <c r="I150" s="63"/>
      <c r="J150" s="109" t="s">
        <v>245</v>
      </c>
      <c r="K150" s="109"/>
      <c r="L150" s="80">
        <v>0</v>
      </c>
      <c r="M150" s="60"/>
      <c r="N150" s="60"/>
      <c r="O150" s="60"/>
    </row>
    <row r="151" spans="1:15" ht="11.25">
      <c r="A151" s="60"/>
      <c r="B151" s="46"/>
      <c r="C151" s="47"/>
      <c r="D151" s="48"/>
      <c r="E151" s="48"/>
      <c r="F151" s="48"/>
      <c r="G151" s="49"/>
      <c r="H151" s="48"/>
      <c r="I151" s="65"/>
      <c r="J151" s="108" t="s">
        <v>253</v>
      </c>
      <c r="K151" s="108"/>
      <c r="L151" s="87">
        <f>$L143*$N143</f>
        <v>0</v>
      </c>
      <c r="M151" s="60"/>
      <c r="N151" s="58"/>
      <c r="O151" s="60"/>
    </row>
    <row r="152" spans="1:15" ht="11.25">
      <c r="A152" s="60"/>
      <c r="B152" s="111" t="s">
        <v>25</v>
      </c>
      <c r="C152" s="111"/>
      <c r="D152" s="111"/>
      <c r="E152" s="50"/>
      <c r="F152" s="50">
        <f>SUM($F144:$F151)</f>
        <v>96430</v>
      </c>
      <c r="G152" s="51">
        <f>SUM($G144:$G151)</f>
        <v>0.29847823046444993</v>
      </c>
      <c r="H152" s="48">
        <f>SUM(H144:H151)</f>
        <v>-1540</v>
      </c>
      <c r="I152" s="63"/>
      <c r="J152" s="109" t="s">
        <v>249</v>
      </c>
      <c r="K152" s="109"/>
      <c r="L152" s="80">
        <v>0</v>
      </c>
      <c r="M152" s="71"/>
      <c r="N152" s="60"/>
      <c r="O152" s="60"/>
    </row>
    <row r="153" spans="1:15" ht="11.25">
      <c r="A153" s="60"/>
      <c r="B153" s="104" t="s">
        <v>242</v>
      </c>
      <c r="C153" s="104"/>
      <c r="D153" s="48"/>
      <c r="E153" s="48"/>
      <c r="F153" s="48">
        <v>247198.25779024741</v>
      </c>
      <c r="G153" s="62"/>
      <c r="H153" s="62"/>
      <c r="I153" s="63"/>
      <c r="J153" s="108" t="s">
        <v>254</v>
      </c>
      <c r="K153" s="108"/>
      <c r="L153" s="87"/>
      <c r="M153" s="60"/>
      <c r="N153" s="94"/>
      <c r="O153" s="60"/>
    </row>
    <row r="154" spans="1:15" ht="11.25">
      <c r="A154" s="60"/>
      <c r="B154" s="52" t="s">
        <v>13</v>
      </c>
      <c r="C154" s="52"/>
      <c r="D154" s="48"/>
      <c r="E154" s="48"/>
      <c r="F154" s="48">
        <v>-20556.12</v>
      </c>
      <c r="G154" s="62"/>
      <c r="H154" s="62"/>
      <c r="I154" s="63"/>
      <c r="J154" s="109" t="s">
        <v>248</v>
      </c>
      <c r="K154" s="109"/>
      <c r="L154" s="80">
        <v>-20000</v>
      </c>
      <c r="M154" s="60"/>
      <c r="N154" s="60"/>
      <c r="O154" s="60"/>
    </row>
    <row r="155" spans="1:15" ht="11.25">
      <c r="A155" s="60"/>
      <c r="B155" s="104" t="s">
        <v>26</v>
      </c>
      <c r="C155" s="104"/>
      <c r="D155" s="48"/>
      <c r="E155" s="48"/>
      <c r="F155" s="48">
        <v>0</v>
      </c>
      <c r="G155" s="62"/>
      <c r="H155" s="62">
        <f>SUM(F155:G155)</f>
        <v>0</v>
      </c>
      <c r="I155" s="63"/>
      <c r="J155" s="110" t="s">
        <v>247</v>
      </c>
      <c r="K155" s="110"/>
      <c r="L155" s="86">
        <f>SUM(L148:L150,L152,L154)</f>
        <v>546.5050000000956</v>
      </c>
      <c r="M155" s="60"/>
      <c r="N155" s="60"/>
      <c r="O155" s="60"/>
    </row>
    <row r="156" spans="1:15" ht="11.25">
      <c r="A156" s="60"/>
      <c r="B156" s="52" t="s">
        <v>102</v>
      </c>
      <c r="C156" s="52"/>
      <c r="D156" s="48"/>
      <c r="E156" s="48"/>
      <c r="F156" s="48">
        <v>0</v>
      </c>
      <c r="G156" s="62"/>
      <c r="H156" s="62"/>
      <c r="I156" s="63"/>
      <c r="J156" s="55" t="s">
        <v>203</v>
      </c>
      <c r="K156" s="55"/>
      <c r="L156" s="50">
        <v>162252.19615454742</v>
      </c>
      <c r="M156" s="60"/>
      <c r="N156" s="60"/>
      <c r="O156" s="60"/>
    </row>
    <row r="157" spans="1:15" ht="11.25">
      <c r="A157" s="60"/>
      <c r="B157" s="104" t="s">
        <v>89</v>
      </c>
      <c r="C157" s="104"/>
      <c r="D157" s="48"/>
      <c r="E157" s="48"/>
      <c r="F157" s="48">
        <v>0</v>
      </c>
      <c r="G157" s="62"/>
      <c r="H157" s="62"/>
      <c r="I157" s="63"/>
      <c r="J157" s="98" t="s">
        <v>118</v>
      </c>
      <c r="K157" s="98"/>
      <c r="L157" s="99">
        <f>SUM($L155:$L156)</f>
        <v>162798.7011545475</v>
      </c>
      <c r="M157" s="60"/>
      <c r="N157" s="60"/>
      <c r="O157" s="60"/>
    </row>
    <row r="158" spans="1:15" ht="13.5">
      <c r="A158" s="60"/>
      <c r="B158" s="105" t="s">
        <v>243</v>
      </c>
      <c r="C158" s="105"/>
      <c r="D158" s="105"/>
      <c r="E158" s="53"/>
      <c r="F158" s="50">
        <f>SUM($F153:$F157)</f>
        <v>226642.13779024742</v>
      </c>
      <c r="G158" s="51">
        <f>$F158/$F159</f>
        <v>0.70152176953555</v>
      </c>
      <c r="H158" s="57">
        <f>H138+1</f>
        <v>38000</v>
      </c>
      <c r="I158" s="63"/>
      <c r="J158" s="106" t="s">
        <v>117</v>
      </c>
      <c r="K158" s="106"/>
      <c r="L158" s="85">
        <f>$F159+$L155+$L151+$L153</f>
        <v>323618.64279024757</v>
      </c>
      <c r="M158" s="60"/>
      <c r="N158" s="60"/>
      <c r="O158" s="60"/>
    </row>
    <row r="159" spans="1:15" ht="13.5">
      <c r="A159" s="60"/>
      <c r="B159" s="107" t="s">
        <v>15</v>
      </c>
      <c r="C159" s="107"/>
      <c r="D159" s="107"/>
      <c r="E159" s="54"/>
      <c r="F159" s="74">
        <f>SUM($F152,$F158)</f>
        <v>323072.13779024745</v>
      </c>
      <c r="G159" s="56">
        <f>SUM($G152,$G158)</f>
        <v>1</v>
      </c>
      <c r="H159" s="66"/>
      <c r="I159" s="63"/>
      <c r="J159" s="60"/>
      <c r="K159" s="60"/>
      <c r="L159" s="60"/>
      <c r="M159" s="60"/>
      <c r="N159" s="60"/>
      <c r="O159" s="60"/>
    </row>
    <row r="160" spans="1:15" ht="11.25">
      <c r="A160" s="60"/>
      <c r="B160" s="60"/>
      <c r="C160" s="60"/>
      <c r="D160" s="60"/>
      <c r="E160" s="60"/>
      <c r="F160" s="60"/>
      <c r="G160" s="66"/>
      <c r="H160" s="67"/>
      <c r="I160" s="63"/>
      <c r="J160" s="60"/>
      <c r="K160" s="60"/>
      <c r="L160" s="60"/>
      <c r="M160" s="60"/>
      <c r="N160" s="60"/>
      <c r="O160" s="60"/>
    </row>
  </sheetData>
  <mergeCells count="144">
    <mergeCell ref="B137:C137"/>
    <mergeCell ref="B138:D138"/>
    <mergeCell ref="J138:K138"/>
    <mergeCell ref="B139:D139"/>
    <mergeCell ref="B133:C133"/>
    <mergeCell ref="J133:K133"/>
    <mergeCell ref="J134:K134"/>
    <mergeCell ref="B135:C135"/>
    <mergeCell ref="J135:K135"/>
    <mergeCell ref="J129:K129"/>
    <mergeCell ref="J130:K130"/>
    <mergeCell ref="J131:K131"/>
    <mergeCell ref="B132:D132"/>
    <mergeCell ref="J132:K132"/>
    <mergeCell ref="H121:J121"/>
    <mergeCell ref="B122:H122"/>
    <mergeCell ref="J126:K126"/>
    <mergeCell ref="J127:L127"/>
    <mergeCell ref="B77:C77"/>
    <mergeCell ref="B78:D78"/>
    <mergeCell ref="J78:K78"/>
    <mergeCell ref="B79:D79"/>
    <mergeCell ref="B73:C73"/>
    <mergeCell ref="J73:K73"/>
    <mergeCell ref="J74:K74"/>
    <mergeCell ref="B75:C75"/>
    <mergeCell ref="J75:K75"/>
    <mergeCell ref="J69:K69"/>
    <mergeCell ref="J70:K70"/>
    <mergeCell ref="J71:K71"/>
    <mergeCell ref="B72:D72"/>
    <mergeCell ref="J72:K72"/>
    <mergeCell ref="H61:J61"/>
    <mergeCell ref="B62:H62"/>
    <mergeCell ref="J66:K66"/>
    <mergeCell ref="J67:L67"/>
    <mergeCell ref="B57:C57"/>
    <mergeCell ref="B58:D58"/>
    <mergeCell ref="J58:K58"/>
    <mergeCell ref="B59:D59"/>
    <mergeCell ref="B53:C53"/>
    <mergeCell ref="J53:K53"/>
    <mergeCell ref="J54:K54"/>
    <mergeCell ref="B55:C55"/>
    <mergeCell ref="J55:K55"/>
    <mergeCell ref="J49:K49"/>
    <mergeCell ref="J50:K50"/>
    <mergeCell ref="J51:K51"/>
    <mergeCell ref="B52:D52"/>
    <mergeCell ref="J52:K52"/>
    <mergeCell ref="H41:J41"/>
    <mergeCell ref="B42:H42"/>
    <mergeCell ref="J46:K46"/>
    <mergeCell ref="J47:L47"/>
    <mergeCell ref="B37:C37"/>
    <mergeCell ref="B38:D38"/>
    <mergeCell ref="J38:K38"/>
    <mergeCell ref="B39:D39"/>
    <mergeCell ref="B33:C33"/>
    <mergeCell ref="J33:K33"/>
    <mergeCell ref="J34:K34"/>
    <mergeCell ref="B35:C35"/>
    <mergeCell ref="J35:K35"/>
    <mergeCell ref="J29:K29"/>
    <mergeCell ref="J30:K30"/>
    <mergeCell ref="J31:K31"/>
    <mergeCell ref="B32:D32"/>
    <mergeCell ref="J32:K32"/>
    <mergeCell ref="H21:J21"/>
    <mergeCell ref="B22:H22"/>
    <mergeCell ref="J26:K26"/>
    <mergeCell ref="J27:L27"/>
    <mergeCell ref="H1:J1"/>
    <mergeCell ref="B2:H2"/>
    <mergeCell ref="J6:K6"/>
    <mergeCell ref="J7:L7"/>
    <mergeCell ref="J9:K9"/>
    <mergeCell ref="J10:K10"/>
    <mergeCell ref="J11:K11"/>
    <mergeCell ref="B12:D12"/>
    <mergeCell ref="J12:K12"/>
    <mergeCell ref="B13:C13"/>
    <mergeCell ref="J13:K13"/>
    <mergeCell ref="J14:K14"/>
    <mergeCell ref="B15:C15"/>
    <mergeCell ref="J15:K15"/>
    <mergeCell ref="B17:C17"/>
    <mergeCell ref="B18:D18"/>
    <mergeCell ref="J18:K18"/>
    <mergeCell ref="B19:D19"/>
    <mergeCell ref="H81:J81"/>
    <mergeCell ref="B82:H82"/>
    <mergeCell ref="J86:K86"/>
    <mergeCell ref="J87:L87"/>
    <mergeCell ref="J89:K89"/>
    <mergeCell ref="J90:K90"/>
    <mergeCell ref="J91:K91"/>
    <mergeCell ref="B92:D92"/>
    <mergeCell ref="J92:K92"/>
    <mergeCell ref="B93:C93"/>
    <mergeCell ref="J93:K93"/>
    <mergeCell ref="J94:K94"/>
    <mergeCell ref="B95:C95"/>
    <mergeCell ref="J95:K95"/>
    <mergeCell ref="B97:C97"/>
    <mergeCell ref="B98:D98"/>
    <mergeCell ref="J98:K98"/>
    <mergeCell ref="B99:D99"/>
    <mergeCell ref="H101:J101"/>
    <mergeCell ref="B102:H102"/>
    <mergeCell ref="J106:K106"/>
    <mergeCell ref="J107:L107"/>
    <mergeCell ref="J109:K109"/>
    <mergeCell ref="J110:K110"/>
    <mergeCell ref="J111:K111"/>
    <mergeCell ref="B112:D112"/>
    <mergeCell ref="J112:K112"/>
    <mergeCell ref="B113:C113"/>
    <mergeCell ref="J113:K113"/>
    <mergeCell ref="J114:K114"/>
    <mergeCell ref="B115:C115"/>
    <mergeCell ref="J115:K115"/>
    <mergeCell ref="B117:C117"/>
    <mergeCell ref="B118:D118"/>
    <mergeCell ref="J118:K118"/>
    <mergeCell ref="B119:D119"/>
    <mergeCell ref="H141:J141"/>
    <mergeCell ref="B142:H142"/>
    <mergeCell ref="J146:K146"/>
    <mergeCell ref="J147:L147"/>
    <mergeCell ref="J149:K149"/>
    <mergeCell ref="J150:K150"/>
    <mergeCell ref="J151:K151"/>
    <mergeCell ref="B152:D152"/>
    <mergeCell ref="J152:K152"/>
    <mergeCell ref="B153:C153"/>
    <mergeCell ref="J153:K153"/>
    <mergeCell ref="J154:K154"/>
    <mergeCell ref="B155:C155"/>
    <mergeCell ref="J155:K155"/>
    <mergeCell ref="B157:C157"/>
    <mergeCell ref="B158:D158"/>
    <mergeCell ref="J158:K158"/>
    <mergeCell ref="B159:D1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68">
      <selection activeCell="F97" sqref="F97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60"/>
      <c r="B1" s="75"/>
      <c r="C1" s="75"/>
      <c r="D1" s="75"/>
      <c r="E1" s="76"/>
      <c r="F1" s="63"/>
      <c r="G1" s="77" t="s">
        <v>229</v>
      </c>
      <c r="H1" s="112">
        <v>37998</v>
      </c>
      <c r="I1" s="112"/>
      <c r="J1" s="112"/>
      <c r="K1" s="60"/>
      <c r="L1" s="60"/>
      <c r="M1" s="60"/>
      <c r="N1" s="60"/>
      <c r="O1" s="60"/>
    </row>
    <row r="2" spans="1:15" ht="11.25">
      <c r="A2" s="61"/>
      <c r="B2" s="113" t="s">
        <v>250</v>
      </c>
      <c r="C2" s="113"/>
      <c r="D2" s="113"/>
      <c r="E2" s="113"/>
      <c r="F2" s="113"/>
      <c r="G2" s="113"/>
      <c r="H2" s="113"/>
      <c r="I2" s="64"/>
      <c r="J2" s="68" t="s">
        <v>252</v>
      </c>
      <c r="K2" s="68"/>
      <c r="L2" s="47">
        <v>16967.852443668453</v>
      </c>
      <c r="M2" s="72"/>
      <c r="N2" s="73"/>
      <c r="O2" s="61"/>
    </row>
    <row r="3" spans="1:15" ht="11.25">
      <c r="A3" s="60"/>
      <c r="B3" s="45" t="s">
        <v>2</v>
      </c>
      <c r="C3" s="45" t="s">
        <v>4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240</v>
      </c>
      <c r="I3" s="63"/>
      <c r="J3" s="68" t="s">
        <v>255</v>
      </c>
      <c r="K3" s="68"/>
      <c r="L3" s="81">
        <v>0</v>
      </c>
      <c r="M3" s="59" t="s">
        <v>251</v>
      </c>
      <c r="N3" s="83">
        <v>0</v>
      </c>
      <c r="O3" s="60"/>
    </row>
    <row r="4" spans="1:15" ht="11.25">
      <c r="A4" s="60"/>
      <c r="B4" s="46" t="s">
        <v>208</v>
      </c>
      <c r="C4" s="47">
        <v>300</v>
      </c>
      <c r="D4" s="48">
        <v>28.5</v>
      </c>
      <c r="E4" s="48">
        <v>28</v>
      </c>
      <c r="F4" s="48">
        <f aca="true" t="shared" si="0" ref="F4:F9">$C4*$E4</f>
        <v>8400</v>
      </c>
      <c r="G4" s="49">
        <f>$F4/$F19</f>
        <v>0.026286437497609415</v>
      </c>
      <c r="H4" s="48">
        <f aca="true" t="shared" si="1" ref="H4:H9">$F4-($C4*$D4)</f>
        <v>-150</v>
      </c>
      <c r="I4" s="65"/>
      <c r="J4" s="68" t="s">
        <v>256</v>
      </c>
      <c r="K4" s="68"/>
      <c r="L4" s="81">
        <v>0</v>
      </c>
      <c r="M4" s="59" t="s">
        <v>251</v>
      </c>
      <c r="N4" s="97">
        <v>0</v>
      </c>
      <c r="O4" s="60"/>
    </row>
    <row r="5" spans="1:15" ht="11.25">
      <c r="A5" s="60"/>
      <c r="B5" s="46" t="s">
        <v>318</v>
      </c>
      <c r="C5" s="47">
        <v>400</v>
      </c>
      <c r="D5" s="48">
        <v>103.3</v>
      </c>
      <c r="E5" s="48">
        <v>102</v>
      </c>
      <c r="F5" s="48">
        <f t="shared" si="0"/>
        <v>40800</v>
      </c>
      <c r="G5" s="49">
        <f>$F5/$F19</f>
        <v>0.12767698213124573</v>
      </c>
      <c r="H5" s="48">
        <f t="shared" si="1"/>
        <v>-520</v>
      </c>
      <c r="I5" s="63"/>
      <c r="J5" s="78" t="s">
        <v>275</v>
      </c>
      <c r="K5" s="79"/>
      <c r="L5" s="82">
        <f>$L2-$L3+$L4</f>
        <v>16967.852443668453</v>
      </c>
      <c r="M5" s="60"/>
      <c r="N5" s="60"/>
      <c r="O5" s="60"/>
    </row>
    <row r="6" spans="1:15" ht="11.25">
      <c r="A6" s="60"/>
      <c r="B6" s="46" t="s">
        <v>200</v>
      </c>
      <c r="C6" s="47">
        <v>2000</v>
      </c>
      <c r="D6" s="48">
        <v>4.7</v>
      </c>
      <c r="E6" s="48">
        <v>4.26</v>
      </c>
      <c r="F6" s="48">
        <f t="shared" si="0"/>
        <v>8520</v>
      </c>
      <c r="G6" s="49">
        <f>$F6/$F19</f>
        <v>0.026661958033289548</v>
      </c>
      <c r="H6" s="48">
        <f t="shared" si="1"/>
        <v>-880</v>
      </c>
      <c r="I6" s="65"/>
      <c r="J6" s="114" t="s">
        <v>24</v>
      </c>
      <c r="K6" s="114"/>
      <c r="L6" s="84">
        <f>$F19/$L5</f>
        <v>18.833050696177803</v>
      </c>
      <c r="M6" s="60"/>
      <c r="N6" s="60"/>
      <c r="O6" s="60"/>
    </row>
    <row r="7" spans="1:15" ht="11.25">
      <c r="A7" s="60"/>
      <c r="B7" s="46" t="s">
        <v>23</v>
      </c>
      <c r="C7" s="47">
        <v>4000</v>
      </c>
      <c r="D7" s="48">
        <v>11.4</v>
      </c>
      <c r="E7" s="48">
        <v>10.7</v>
      </c>
      <c r="F7" s="48">
        <f t="shared" si="0"/>
        <v>42800</v>
      </c>
      <c r="G7" s="49">
        <f>$F7/$F19</f>
        <v>0.13393565772591465</v>
      </c>
      <c r="H7" s="48">
        <f t="shared" si="1"/>
        <v>-2800</v>
      </c>
      <c r="I7" s="63"/>
      <c r="J7" s="115" t="s">
        <v>241</v>
      </c>
      <c r="K7" s="115"/>
      <c r="L7" s="115"/>
      <c r="M7" s="60"/>
      <c r="N7" s="60"/>
      <c r="O7" s="60"/>
    </row>
    <row r="8" spans="1:15" ht="11.25">
      <c r="A8" s="60"/>
      <c r="B8" s="46" t="s">
        <v>329</v>
      </c>
      <c r="C8" s="47">
        <v>1000</v>
      </c>
      <c r="D8" s="48">
        <v>26.7</v>
      </c>
      <c r="E8" s="48">
        <v>26.5</v>
      </c>
      <c r="F8" s="48">
        <f t="shared" si="0"/>
        <v>26500</v>
      </c>
      <c r="G8" s="49">
        <f>$F8/$F19</f>
        <v>0.08292745162936303</v>
      </c>
      <c r="H8" s="48">
        <f t="shared" si="1"/>
        <v>-200</v>
      </c>
      <c r="I8" s="63"/>
      <c r="J8" s="69" t="s">
        <v>246</v>
      </c>
      <c r="K8" s="70"/>
      <c r="L8" s="100">
        <v>546.5050000000956</v>
      </c>
      <c r="M8" s="60"/>
      <c r="N8" s="60"/>
      <c r="O8" s="60"/>
    </row>
    <row r="9" spans="1:15" ht="11.25">
      <c r="A9" s="60"/>
      <c r="B9" s="46" t="s">
        <v>205</v>
      </c>
      <c r="C9" s="47">
        <v>1000</v>
      </c>
      <c r="D9" s="48">
        <v>43.75</v>
      </c>
      <c r="E9" s="48">
        <v>43</v>
      </c>
      <c r="F9" s="48">
        <f t="shared" si="0"/>
        <v>43000</v>
      </c>
      <c r="G9" s="49">
        <f>$F9/$F19</f>
        <v>0.13456152528538154</v>
      </c>
      <c r="H9" s="48">
        <f t="shared" si="1"/>
        <v>-750</v>
      </c>
      <c r="I9" s="65"/>
      <c r="J9" s="109" t="s">
        <v>244</v>
      </c>
      <c r="K9" s="109"/>
      <c r="L9" s="80">
        <v>0</v>
      </c>
      <c r="M9" s="60"/>
      <c r="N9" s="60"/>
      <c r="O9" s="60"/>
    </row>
    <row r="10" spans="1:15" ht="11.25">
      <c r="A10" s="60"/>
      <c r="B10" s="46"/>
      <c r="C10" s="47"/>
      <c r="D10" s="48"/>
      <c r="E10" s="48"/>
      <c r="F10" s="48"/>
      <c r="G10" s="49"/>
      <c r="H10" s="48"/>
      <c r="I10" s="63"/>
      <c r="J10" s="109" t="s">
        <v>245</v>
      </c>
      <c r="K10" s="109"/>
      <c r="L10" s="80">
        <v>0</v>
      </c>
      <c r="M10" s="60"/>
      <c r="N10" s="60"/>
      <c r="O10" s="60"/>
    </row>
    <row r="11" spans="1:15" ht="11.25">
      <c r="A11" s="60"/>
      <c r="B11" s="46"/>
      <c r="C11" s="47"/>
      <c r="D11" s="48"/>
      <c r="E11" s="48"/>
      <c r="F11" s="48"/>
      <c r="G11" s="49"/>
      <c r="H11" s="48"/>
      <c r="I11" s="65"/>
      <c r="J11" s="108" t="s">
        <v>253</v>
      </c>
      <c r="K11" s="108"/>
      <c r="L11" s="87">
        <f>$L3*$N3</f>
        <v>0</v>
      </c>
      <c r="M11" s="60"/>
      <c r="N11" s="58"/>
      <c r="O11" s="60"/>
    </row>
    <row r="12" spans="1:15" ht="11.25">
      <c r="A12" s="60"/>
      <c r="B12" s="111" t="s">
        <v>25</v>
      </c>
      <c r="C12" s="111"/>
      <c r="D12" s="111"/>
      <c r="E12" s="50"/>
      <c r="F12" s="50">
        <f>SUM($F4:$F11)</f>
        <v>170020</v>
      </c>
      <c r="G12" s="51">
        <f>SUM($G4:$G11)</f>
        <v>0.5320500123028039</v>
      </c>
      <c r="H12" s="48">
        <f>SUM(H4:H11)</f>
        <v>-5300</v>
      </c>
      <c r="I12" s="63"/>
      <c r="J12" s="109" t="s">
        <v>249</v>
      </c>
      <c r="K12" s="109"/>
      <c r="L12" s="80">
        <v>0</v>
      </c>
      <c r="M12" s="71"/>
      <c r="N12" s="60"/>
      <c r="O12" s="60"/>
    </row>
    <row r="13" spans="1:15" ht="11.25">
      <c r="A13" s="60"/>
      <c r="B13" s="104" t="s">
        <v>242</v>
      </c>
      <c r="C13" s="104"/>
      <c r="D13" s="48"/>
      <c r="E13" s="48"/>
      <c r="F13" s="48">
        <v>226642.13779024742</v>
      </c>
      <c r="G13" s="62"/>
      <c r="H13" s="62"/>
      <c r="I13" s="63"/>
      <c r="J13" s="108" t="s">
        <v>254</v>
      </c>
      <c r="K13" s="108"/>
      <c r="L13" s="87"/>
      <c r="M13" s="60"/>
      <c r="N13" s="94"/>
      <c r="O13" s="60"/>
    </row>
    <row r="14" spans="1:15" ht="11.25">
      <c r="A14" s="60"/>
      <c r="B14" s="52" t="s">
        <v>13</v>
      </c>
      <c r="C14" s="52"/>
      <c r="D14" s="48"/>
      <c r="E14" s="48"/>
      <c r="F14" s="48">
        <v>-77105.71251337501</v>
      </c>
      <c r="G14" s="62"/>
      <c r="H14" s="62"/>
      <c r="I14" s="63"/>
      <c r="J14" s="109" t="s">
        <v>248</v>
      </c>
      <c r="K14" s="109"/>
      <c r="L14" s="80">
        <v>0</v>
      </c>
      <c r="M14" s="60"/>
      <c r="N14" s="60"/>
      <c r="O14" s="60"/>
    </row>
    <row r="15" spans="1:15" ht="11.25">
      <c r="A15" s="60"/>
      <c r="B15" s="104" t="s">
        <v>26</v>
      </c>
      <c r="C15" s="104"/>
      <c r="D15" s="48"/>
      <c r="E15" s="48"/>
      <c r="F15" s="48">
        <v>0</v>
      </c>
      <c r="G15" s="62"/>
      <c r="H15" s="62">
        <f>SUM(F15:G15)</f>
        <v>0</v>
      </c>
      <c r="I15" s="63"/>
      <c r="J15" s="110" t="s">
        <v>247</v>
      </c>
      <c r="K15" s="110"/>
      <c r="L15" s="86">
        <f>SUM(L8:L10,L12,L14)</f>
        <v>546.5050000000956</v>
      </c>
      <c r="M15" s="60"/>
      <c r="N15" s="60"/>
      <c r="O15" s="60"/>
    </row>
    <row r="16" spans="1:15" ht="11.25">
      <c r="A16" s="60"/>
      <c r="B16" s="52" t="s">
        <v>102</v>
      </c>
      <c r="C16" s="52"/>
      <c r="D16" s="48"/>
      <c r="E16" s="48"/>
      <c r="F16" s="48">
        <v>0</v>
      </c>
      <c r="G16" s="62"/>
      <c r="H16" s="62"/>
      <c r="I16" s="63"/>
      <c r="J16" s="55" t="s">
        <v>203</v>
      </c>
      <c r="K16" s="55"/>
      <c r="L16" s="50">
        <v>263194.0877902474</v>
      </c>
      <c r="M16" s="60"/>
      <c r="N16" s="60"/>
      <c r="O16" s="60"/>
    </row>
    <row r="17" spans="1:15" ht="11.25">
      <c r="A17" s="60"/>
      <c r="B17" s="104" t="s">
        <v>89</v>
      </c>
      <c r="C17" s="104"/>
      <c r="D17" s="48"/>
      <c r="E17" s="48"/>
      <c r="F17" s="48">
        <v>0</v>
      </c>
      <c r="G17" s="62"/>
      <c r="H17" s="62"/>
      <c r="I17" s="63"/>
      <c r="J17" s="98" t="s">
        <v>118</v>
      </c>
      <c r="K17" s="98"/>
      <c r="L17" s="99">
        <f>SUM($L15:$L16)</f>
        <v>263740.5927902475</v>
      </c>
      <c r="M17" s="60"/>
      <c r="N17" s="60"/>
      <c r="O17" s="60"/>
    </row>
    <row r="18" spans="1:15" ht="13.5">
      <c r="A18" s="60"/>
      <c r="B18" s="105" t="s">
        <v>243</v>
      </c>
      <c r="C18" s="105"/>
      <c r="D18" s="105"/>
      <c r="E18" s="53"/>
      <c r="F18" s="50">
        <f>SUM($F13:$F17)</f>
        <v>149536.4252768724</v>
      </c>
      <c r="G18" s="51">
        <f>$F18/$F19</f>
        <v>0.4679499876971961</v>
      </c>
      <c r="H18" s="57">
        <f>H1+3</f>
        <v>38001</v>
      </c>
      <c r="I18" s="63"/>
      <c r="J18" s="106" t="s">
        <v>117</v>
      </c>
      <c r="K18" s="106"/>
      <c r="L18" s="85">
        <f>$F19+$L15+$L11+$L13</f>
        <v>320102.93027687253</v>
      </c>
      <c r="M18" s="60"/>
      <c r="N18" s="60"/>
      <c r="O18" s="60"/>
    </row>
    <row r="19" spans="1:15" ht="13.5">
      <c r="A19" s="60"/>
      <c r="B19" s="107" t="s">
        <v>15</v>
      </c>
      <c r="C19" s="107"/>
      <c r="D19" s="107"/>
      <c r="E19" s="54"/>
      <c r="F19" s="74">
        <f>SUM($F12,$F18)</f>
        <v>319556.4252768724</v>
      </c>
      <c r="G19" s="56">
        <f>SUM($G12,$G18)</f>
        <v>1</v>
      </c>
      <c r="H19" s="66"/>
      <c r="I19" s="63"/>
      <c r="J19" s="60"/>
      <c r="K19" s="60"/>
      <c r="L19" s="60"/>
      <c r="M19" s="60"/>
      <c r="N19" s="60"/>
      <c r="O19" s="60"/>
    </row>
    <row r="20" spans="1:15" ht="11.25">
      <c r="A20" s="60"/>
      <c r="B20" s="60"/>
      <c r="C20" s="60"/>
      <c r="D20" s="60"/>
      <c r="E20" s="60"/>
      <c r="F20" s="60"/>
      <c r="G20" s="66"/>
      <c r="H20" s="67"/>
      <c r="I20" s="63"/>
      <c r="J20" s="60"/>
      <c r="K20" s="60"/>
      <c r="L20" s="60"/>
      <c r="M20" s="60"/>
      <c r="N20" s="60"/>
      <c r="O20" s="60"/>
    </row>
    <row r="21" spans="1:15" ht="15.75">
      <c r="A21" s="60"/>
      <c r="B21" s="75"/>
      <c r="C21" s="75"/>
      <c r="D21" s="75"/>
      <c r="E21" s="76"/>
      <c r="F21" s="63"/>
      <c r="G21" s="77" t="s">
        <v>258</v>
      </c>
      <c r="H21" s="112">
        <v>37999</v>
      </c>
      <c r="I21" s="112"/>
      <c r="J21" s="112"/>
      <c r="K21" s="60"/>
      <c r="L21" s="60"/>
      <c r="M21" s="60"/>
      <c r="N21" s="60"/>
      <c r="O21" s="60"/>
    </row>
    <row r="22" spans="1:15" ht="11.25">
      <c r="A22" s="61"/>
      <c r="B22" s="113" t="s">
        <v>250</v>
      </c>
      <c r="C22" s="113"/>
      <c r="D22" s="113"/>
      <c r="E22" s="113"/>
      <c r="F22" s="113"/>
      <c r="G22" s="113"/>
      <c r="H22" s="113"/>
      <c r="I22" s="64"/>
      <c r="J22" s="68" t="s">
        <v>252</v>
      </c>
      <c r="K22" s="68"/>
      <c r="L22" s="47">
        <v>16967.852443668453</v>
      </c>
      <c r="M22" s="72"/>
      <c r="N22" s="73"/>
      <c r="O22" s="61"/>
    </row>
    <row r="23" spans="1:15" ht="11.25">
      <c r="A23" s="60"/>
      <c r="B23" s="45" t="s">
        <v>2</v>
      </c>
      <c r="C23" s="45" t="s">
        <v>4</v>
      </c>
      <c r="D23" s="45" t="s">
        <v>9</v>
      </c>
      <c r="E23" s="45" t="s">
        <v>10</v>
      </c>
      <c r="F23" s="45" t="s">
        <v>11</v>
      </c>
      <c r="G23" s="45" t="s">
        <v>12</v>
      </c>
      <c r="H23" s="45" t="s">
        <v>240</v>
      </c>
      <c r="I23" s="63"/>
      <c r="J23" s="68" t="s">
        <v>255</v>
      </c>
      <c r="K23" s="68"/>
      <c r="L23" s="81">
        <v>0</v>
      </c>
      <c r="M23" s="59" t="s">
        <v>251</v>
      </c>
      <c r="N23" s="83">
        <v>0</v>
      </c>
      <c r="O23" s="60"/>
    </row>
    <row r="24" spans="1:15" ht="11.25">
      <c r="A24" s="60"/>
      <c r="B24" s="46" t="s">
        <v>208</v>
      </c>
      <c r="C24" s="47">
        <v>300</v>
      </c>
      <c r="D24" s="48">
        <v>28.5</v>
      </c>
      <c r="E24" s="48">
        <v>28</v>
      </c>
      <c r="F24" s="48">
        <f aca="true" t="shared" si="2" ref="F24:F30">$C24*$E24</f>
        <v>8400</v>
      </c>
      <c r="G24" s="49">
        <f>$F24/$F39</f>
        <v>0.026426483881860578</v>
      </c>
      <c r="H24" s="48">
        <f aca="true" t="shared" si="3" ref="H24:H30">$F24-($C24*$D24)</f>
        <v>-150</v>
      </c>
      <c r="I24" s="65"/>
      <c r="J24" s="68" t="s">
        <v>256</v>
      </c>
      <c r="K24" s="68"/>
      <c r="L24" s="81">
        <v>0</v>
      </c>
      <c r="M24" s="59" t="s">
        <v>251</v>
      </c>
      <c r="N24" s="97">
        <v>0</v>
      </c>
      <c r="O24" s="60"/>
    </row>
    <row r="25" spans="1:15" ht="11.25">
      <c r="A25" s="60"/>
      <c r="B25" s="46" t="s">
        <v>318</v>
      </c>
      <c r="C25" s="47">
        <v>400</v>
      </c>
      <c r="D25" s="48">
        <v>103.3</v>
      </c>
      <c r="E25" s="48">
        <v>102</v>
      </c>
      <c r="F25" s="48">
        <f t="shared" si="2"/>
        <v>40800</v>
      </c>
      <c r="G25" s="49">
        <f>$F25/$F39</f>
        <v>0.12835720742617995</v>
      </c>
      <c r="H25" s="48">
        <f t="shared" si="3"/>
        <v>-520</v>
      </c>
      <c r="I25" s="63"/>
      <c r="J25" s="78" t="s">
        <v>275</v>
      </c>
      <c r="K25" s="79"/>
      <c r="L25" s="82">
        <f>$L22-$L23+$L24</f>
        <v>16967.852443668453</v>
      </c>
      <c r="M25" s="60"/>
      <c r="N25" s="60"/>
      <c r="O25" s="60"/>
    </row>
    <row r="26" spans="1:15" ht="11.25">
      <c r="A26" s="60"/>
      <c r="B26" s="46" t="s">
        <v>200</v>
      </c>
      <c r="C26" s="47">
        <v>2000</v>
      </c>
      <c r="D26" s="48">
        <v>4.7</v>
      </c>
      <c r="E26" s="48">
        <v>4.26</v>
      </c>
      <c r="F26" s="48">
        <f t="shared" si="2"/>
        <v>8520</v>
      </c>
      <c r="G26" s="49">
        <f>$F26/$F39</f>
        <v>0.02680400508017287</v>
      </c>
      <c r="H26" s="48">
        <f t="shared" si="3"/>
        <v>-880</v>
      </c>
      <c r="I26" s="65"/>
      <c r="J26" s="114" t="s">
        <v>24</v>
      </c>
      <c r="K26" s="114"/>
      <c r="L26" s="84">
        <f>$F39/$L25</f>
        <v>18.73324549067981</v>
      </c>
      <c r="M26" s="60"/>
      <c r="N26" s="60"/>
      <c r="O26" s="60"/>
    </row>
    <row r="27" spans="1:15" ht="11.25">
      <c r="A27" s="60"/>
      <c r="B27" s="46" t="s">
        <v>23</v>
      </c>
      <c r="C27" s="47">
        <v>4000</v>
      </c>
      <c r="D27" s="48">
        <v>11.4</v>
      </c>
      <c r="E27" s="48">
        <v>10.7</v>
      </c>
      <c r="F27" s="48">
        <f t="shared" si="2"/>
        <v>42800</v>
      </c>
      <c r="G27" s="49">
        <f>$F27/$F39</f>
        <v>0.13464922739805152</v>
      </c>
      <c r="H27" s="48">
        <f t="shared" si="3"/>
        <v>-2800</v>
      </c>
      <c r="I27" s="63"/>
      <c r="J27" s="115" t="s">
        <v>241</v>
      </c>
      <c r="K27" s="115"/>
      <c r="L27" s="115"/>
      <c r="M27" s="60"/>
      <c r="N27" s="60"/>
      <c r="O27" s="60"/>
    </row>
    <row r="28" spans="1:15" ht="11.25">
      <c r="A28" s="60"/>
      <c r="B28" s="46" t="s">
        <v>329</v>
      </c>
      <c r="C28" s="47">
        <v>1000</v>
      </c>
      <c r="D28" s="48">
        <v>26.7</v>
      </c>
      <c r="E28" s="48">
        <v>26.5</v>
      </c>
      <c r="F28" s="48">
        <f t="shared" si="2"/>
        <v>26500</v>
      </c>
      <c r="G28" s="49">
        <f>$F28/$F39</f>
        <v>0.08336926462729825</v>
      </c>
      <c r="H28" s="48">
        <f t="shared" si="3"/>
        <v>-200</v>
      </c>
      <c r="I28" s="63"/>
      <c r="J28" s="69" t="s">
        <v>246</v>
      </c>
      <c r="K28" s="70"/>
      <c r="L28" s="100">
        <v>546.5050000000956</v>
      </c>
      <c r="M28" s="60"/>
      <c r="N28" s="60"/>
      <c r="O28" s="60"/>
    </row>
    <row r="29" spans="1:15" ht="11.25">
      <c r="A29" s="60"/>
      <c r="B29" s="46" t="s">
        <v>205</v>
      </c>
      <c r="C29" s="47">
        <v>1000</v>
      </c>
      <c r="D29" s="48">
        <v>43.75</v>
      </c>
      <c r="E29" s="48">
        <v>43</v>
      </c>
      <c r="F29" s="48">
        <f t="shared" si="2"/>
        <v>43000</v>
      </c>
      <c r="G29" s="49">
        <f>$F29/$F39</f>
        <v>0.13527842939523868</v>
      </c>
      <c r="H29" s="48">
        <f t="shared" si="3"/>
        <v>-750</v>
      </c>
      <c r="I29" s="65"/>
      <c r="J29" s="109" t="s">
        <v>244</v>
      </c>
      <c r="K29" s="109"/>
      <c r="L29" s="80">
        <v>0</v>
      </c>
      <c r="M29" s="60"/>
      <c r="N29" s="60"/>
      <c r="O29" s="60"/>
    </row>
    <row r="30" spans="1:15" ht="11.25">
      <c r="A30" s="60"/>
      <c r="B30" s="46" t="s">
        <v>331</v>
      </c>
      <c r="C30" s="47">
        <v>300</v>
      </c>
      <c r="D30" s="48">
        <v>88</v>
      </c>
      <c r="E30" s="48">
        <v>87</v>
      </c>
      <c r="F30" s="48">
        <f t="shared" si="2"/>
        <v>26100</v>
      </c>
      <c r="G30" s="49">
        <f>$F30/$F39</f>
        <v>0.08211086063292394</v>
      </c>
      <c r="H30" s="48">
        <f t="shared" si="3"/>
        <v>-300</v>
      </c>
      <c r="I30" s="63"/>
      <c r="J30" s="109" t="s">
        <v>245</v>
      </c>
      <c r="K30" s="109"/>
      <c r="L30" s="80">
        <v>0</v>
      </c>
      <c r="M30" s="60"/>
      <c r="N30" s="60"/>
      <c r="O30" s="60"/>
    </row>
    <row r="31" spans="1:15" ht="11.25">
      <c r="A31" s="60"/>
      <c r="B31" s="46"/>
      <c r="C31" s="47"/>
      <c r="D31" s="48"/>
      <c r="E31" s="48"/>
      <c r="F31" s="48"/>
      <c r="G31" s="49"/>
      <c r="H31" s="48"/>
      <c r="I31" s="65"/>
      <c r="J31" s="108" t="s">
        <v>253</v>
      </c>
      <c r="K31" s="108"/>
      <c r="L31" s="87">
        <f>$L23*$N23</f>
        <v>0</v>
      </c>
      <c r="M31" s="60"/>
      <c r="N31" s="58"/>
      <c r="O31" s="60"/>
    </row>
    <row r="32" spans="1:15" ht="11.25">
      <c r="A32" s="60"/>
      <c r="B32" s="111" t="s">
        <v>25</v>
      </c>
      <c r="C32" s="111"/>
      <c r="D32" s="111"/>
      <c r="E32" s="50"/>
      <c r="F32" s="50">
        <f>SUM($F24:$F31)</f>
        <v>196120</v>
      </c>
      <c r="G32" s="51">
        <f>SUM($G24:$G31)</f>
        <v>0.6169954784417258</v>
      </c>
      <c r="H32" s="48">
        <f>SUM(H24:H31)</f>
        <v>-5600</v>
      </c>
      <c r="I32" s="63"/>
      <c r="J32" s="109" t="s">
        <v>249</v>
      </c>
      <c r="K32" s="109"/>
      <c r="L32" s="80">
        <v>0</v>
      </c>
      <c r="M32" s="71"/>
      <c r="N32" s="60"/>
      <c r="O32" s="60"/>
    </row>
    <row r="33" spans="1:15" ht="11.25">
      <c r="A33" s="60"/>
      <c r="B33" s="104" t="s">
        <v>242</v>
      </c>
      <c r="C33" s="104"/>
      <c r="D33" s="48"/>
      <c r="E33" s="48"/>
      <c r="F33" s="48">
        <v>149536.4252768724</v>
      </c>
      <c r="G33" s="62"/>
      <c r="H33" s="62"/>
      <c r="I33" s="63"/>
      <c r="J33" s="108" t="s">
        <v>254</v>
      </c>
      <c r="K33" s="108"/>
      <c r="L33" s="87"/>
      <c r="M33" s="60"/>
      <c r="N33" s="94"/>
      <c r="O33" s="60"/>
    </row>
    <row r="34" spans="1:15" ht="11.25">
      <c r="A34" s="60"/>
      <c r="B34" s="52" t="s">
        <v>13</v>
      </c>
      <c r="C34" s="52"/>
      <c r="D34" s="48"/>
      <c r="E34" s="48"/>
      <c r="F34" s="48">
        <v>-27793.48</v>
      </c>
      <c r="G34" s="62"/>
      <c r="H34" s="62"/>
      <c r="I34" s="63"/>
      <c r="J34" s="109" t="s">
        <v>248</v>
      </c>
      <c r="K34" s="109"/>
      <c r="L34" s="80">
        <v>0</v>
      </c>
      <c r="M34" s="60"/>
      <c r="N34" s="60"/>
      <c r="O34" s="60"/>
    </row>
    <row r="35" spans="1:15" ht="11.25">
      <c r="A35" s="60"/>
      <c r="B35" s="104" t="s">
        <v>26</v>
      </c>
      <c r="C35" s="104"/>
      <c r="D35" s="48"/>
      <c r="E35" s="48"/>
      <c r="F35" s="48">
        <v>0</v>
      </c>
      <c r="G35" s="62"/>
      <c r="H35" s="62">
        <f>SUM(F35:G35)</f>
        <v>0</v>
      </c>
      <c r="I35" s="63"/>
      <c r="J35" s="110" t="s">
        <v>247</v>
      </c>
      <c r="K35" s="110"/>
      <c r="L35" s="86">
        <f>SUM(L28:L30,L32,L34)</f>
        <v>546.5050000000956</v>
      </c>
      <c r="M35" s="60"/>
      <c r="N35" s="60"/>
      <c r="O35" s="60"/>
    </row>
    <row r="36" spans="1:15" ht="11.25">
      <c r="A36" s="60"/>
      <c r="B36" s="52" t="s">
        <v>102</v>
      </c>
      <c r="C36" s="52"/>
      <c r="D36" s="48"/>
      <c r="E36" s="48"/>
      <c r="F36" s="48">
        <v>0</v>
      </c>
      <c r="G36" s="62"/>
      <c r="H36" s="62"/>
      <c r="I36" s="63"/>
      <c r="J36" s="55" t="s">
        <v>203</v>
      </c>
      <c r="K36" s="55"/>
      <c r="L36" s="50">
        <v>247198.25779024741</v>
      </c>
      <c r="M36" s="60"/>
      <c r="N36" s="60"/>
      <c r="O36" s="60"/>
    </row>
    <row r="37" spans="1:15" ht="11.25">
      <c r="A37" s="60"/>
      <c r="B37" s="104" t="s">
        <v>89</v>
      </c>
      <c r="C37" s="104"/>
      <c r="D37" s="48"/>
      <c r="E37" s="48"/>
      <c r="F37" s="48">
        <v>0</v>
      </c>
      <c r="G37" s="62"/>
      <c r="H37" s="62"/>
      <c r="I37" s="63"/>
      <c r="J37" s="98" t="s">
        <v>118</v>
      </c>
      <c r="K37" s="98"/>
      <c r="L37" s="99">
        <f>SUM($L35:$L36)</f>
        <v>247744.7627902475</v>
      </c>
      <c r="M37" s="60"/>
      <c r="N37" s="60"/>
      <c r="O37" s="60"/>
    </row>
    <row r="38" spans="1:15" ht="13.5">
      <c r="A38" s="60"/>
      <c r="B38" s="105" t="s">
        <v>243</v>
      </c>
      <c r="C38" s="105"/>
      <c r="D38" s="105"/>
      <c r="E38" s="53"/>
      <c r="F38" s="50">
        <f>SUM($F33:$F37)</f>
        <v>121742.94527687241</v>
      </c>
      <c r="G38" s="51">
        <f>$F38/$F39</f>
        <v>0.3830045215582742</v>
      </c>
      <c r="H38" s="57">
        <f>H21+3</f>
        <v>38002</v>
      </c>
      <c r="I38" s="63"/>
      <c r="J38" s="106" t="s">
        <v>117</v>
      </c>
      <c r="K38" s="106"/>
      <c r="L38" s="85">
        <f>$F39+$L35+$L31+$L33</f>
        <v>318409.45027687255</v>
      </c>
      <c r="M38" s="60"/>
      <c r="N38" s="60"/>
      <c r="O38" s="60"/>
    </row>
    <row r="39" spans="1:15" ht="13.5">
      <c r="A39" s="60"/>
      <c r="B39" s="107" t="s">
        <v>15</v>
      </c>
      <c r="C39" s="107"/>
      <c r="D39" s="107"/>
      <c r="E39" s="54"/>
      <c r="F39" s="74">
        <f>SUM($F32,$F38)</f>
        <v>317862.94527687243</v>
      </c>
      <c r="G39" s="56">
        <f>SUM($G32,$G38)</f>
        <v>1</v>
      </c>
      <c r="H39" s="66"/>
      <c r="I39" s="63"/>
      <c r="J39" s="60"/>
      <c r="K39" s="60"/>
      <c r="L39" s="60"/>
      <c r="M39" s="60"/>
      <c r="N39" s="60"/>
      <c r="O39" s="60"/>
    </row>
    <row r="40" spans="1:15" ht="11.25">
      <c r="A40" s="60"/>
      <c r="B40" s="60"/>
      <c r="C40" s="60"/>
      <c r="D40" s="60"/>
      <c r="E40" s="60"/>
      <c r="F40" s="60"/>
      <c r="G40" s="66"/>
      <c r="H40" s="67"/>
      <c r="I40" s="63"/>
      <c r="J40" s="60"/>
      <c r="K40" s="60"/>
      <c r="L40" s="60"/>
      <c r="M40" s="60"/>
      <c r="N40" s="60"/>
      <c r="O40" s="60"/>
    </row>
    <row r="41" spans="1:15" ht="15.75">
      <c r="A41" s="60"/>
      <c r="B41" s="75"/>
      <c r="C41" s="75"/>
      <c r="D41" s="75"/>
      <c r="E41" s="76"/>
      <c r="F41" s="63"/>
      <c r="G41" s="77" t="s">
        <v>233</v>
      </c>
      <c r="H41" s="112">
        <v>38000</v>
      </c>
      <c r="I41" s="112"/>
      <c r="J41" s="112"/>
      <c r="K41" s="60"/>
      <c r="L41" s="60"/>
      <c r="M41" s="60"/>
      <c r="N41" s="60"/>
      <c r="O41" s="60"/>
    </row>
    <row r="42" spans="1:15" ht="11.25">
      <c r="A42" s="61"/>
      <c r="B42" s="113" t="s">
        <v>250</v>
      </c>
      <c r="C42" s="113"/>
      <c r="D42" s="113"/>
      <c r="E42" s="113"/>
      <c r="F42" s="113"/>
      <c r="G42" s="113"/>
      <c r="H42" s="113"/>
      <c r="I42" s="64"/>
      <c r="J42" s="68" t="s">
        <v>252</v>
      </c>
      <c r="K42" s="68"/>
      <c r="L42" s="47">
        <v>16967.852443668453</v>
      </c>
      <c r="M42" s="72"/>
      <c r="N42" s="73"/>
      <c r="O42" s="61"/>
    </row>
    <row r="43" spans="1:15" ht="11.25">
      <c r="A43" s="60"/>
      <c r="B43" s="45" t="s">
        <v>2</v>
      </c>
      <c r="C43" s="45" t="s">
        <v>4</v>
      </c>
      <c r="D43" s="45" t="s">
        <v>9</v>
      </c>
      <c r="E43" s="45" t="s">
        <v>10</v>
      </c>
      <c r="F43" s="45" t="s">
        <v>11</v>
      </c>
      <c r="G43" s="45" t="s">
        <v>12</v>
      </c>
      <c r="H43" s="45" t="s">
        <v>240</v>
      </c>
      <c r="I43" s="63"/>
      <c r="J43" s="68" t="s">
        <v>255</v>
      </c>
      <c r="K43" s="68"/>
      <c r="L43" s="81">
        <v>0</v>
      </c>
      <c r="M43" s="59" t="s">
        <v>251</v>
      </c>
      <c r="N43" s="83">
        <v>0</v>
      </c>
      <c r="O43" s="60"/>
    </row>
    <row r="44" spans="1:15" ht="11.25">
      <c r="A44" s="60"/>
      <c r="B44" s="46" t="s">
        <v>208</v>
      </c>
      <c r="C44" s="47">
        <v>300</v>
      </c>
      <c r="D44" s="48">
        <v>28.5</v>
      </c>
      <c r="E44" s="48">
        <v>28</v>
      </c>
      <c r="F44" s="48">
        <f aca="true" t="shared" si="4" ref="F44:F52">$C44*$E44</f>
        <v>8400</v>
      </c>
      <c r="G44" s="49">
        <f>$F44/$F60</f>
        <v>0.02609198848513907</v>
      </c>
      <c r="H44" s="48">
        <f aca="true" t="shared" si="5" ref="H44:H52">$F44-($C44*$D44)</f>
        <v>-150</v>
      </c>
      <c r="I44" s="65"/>
      <c r="J44" s="68" t="s">
        <v>256</v>
      </c>
      <c r="K44" s="68"/>
      <c r="L44" s="81">
        <v>0</v>
      </c>
      <c r="M44" s="59" t="s">
        <v>251</v>
      </c>
      <c r="N44" s="97">
        <v>0</v>
      </c>
      <c r="O44" s="60"/>
    </row>
    <row r="45" spans="1:15" ht="11.25">
      <c r="A45" s="60"/>
      <c r="B45" s="46" t="s">
        <v>318</v>
      </c>
      <c r="C45" s="47">
        <v>400</v>
      </c>
      <c r="D45" s="48">
        <v>103.3</v>
      </c>
      <c r="E45" s="48">
        <v>104</v>
      </c>
      <c r="F45" s="48">
        <f t="shared" si="4"/>
        <v>41600</v>
      </c>
      <c r="G45" s="49">
        <f>$F45/$F60</f>
        <v>0.12921746678354587</v>
      </c>
      <c r="H45" s="48">
        <f t="shared" si="5"/>
        <v>280</v>
      </c>
      <c r="I45" s="63"/>
      <c r="J45" s="78" t="s">
        <v>275</v>
      </c>
      <c r="K45" s="79"/>
      <c r="L45" s="82">
        <f>$L42-$L43+$L44</f>
        <v>16967.852443668453</v>
      </c>
      <c r="M45" s="60"/>
      <c r="N45" s="60"/>
      <c r="O45" s="60"/>
    </row>
    <row r="46" spans="1:15" ht="11.25">
      <c r="A46" s="60"/>
      <c r="B46" s="46" t="s">
        <v>200</v>
      </c>
      <c r="C46" s="47">
        <v>2000</v>
      </c>
      <c r="D46" s="48">
        <v>4.7</v>
      </c>
      <c r="E46" s="48">
        <v>4.28</v>
      </c>
      <c r="F46" s="48">
        <f t="shared" si="4"/>
        <v>8560</v>
      </c>
      <c r="G46" s="49">
        <f>$F46/$F60</f>
        <v>0.026588978741998864</v>
      </c>
      <c r="H46" s="48">
        <f t="shared" si="5"/>
        <v>-840</v>
      </c>
      <c r="I46" s="65"/>
      <c r="J46" s="114" t="s">
        <v>24</v>
      </c>
      <c r="K46" s="114"/>
      <c r="L46" s="84">
        <f>$F60/$L45</f>
        <v>18.973402900907676</v>
      </c>
      <c r="M46" s="60"/>
      <c r="N46" s="60"/>
      <c r="O46" s="60"/>
    </row>
    <row r="47" spans="1:15" ht="11.25">
      <c r="A47" s="60"/>
      <c r="B47" s="46" t="s">
        <v>23</v>
      </c>
      <c r="C47" s="47">
        <v>4000</v>
      </c>
      <c r="D47" s="48">
        <v>12.1</v>
      </c>
      <c r="E47" s="48">
        <v>11.9</v>
      </c>
      <c r="F47" s="48">
        <f t="shared" si="4"/>
        <v>47600</v>
      </c>
      <c r="G47" s="49">
        <f>$F47/$F60</f>
        <v>0.14785460141578807</v>
      </c>
      <c r="H47" s="48">
        <f t="shared" si="5"/>
        <v>-800</v>
      </c>
      <c r="I47" s="63"/>
      <c r="J47" s="115" t="s">
        <v>241</v>
      </c>
      <c r="K47" s="115"/>
      <c r="L47" s="115"/>
      <c r="M47" s="60"/>
      <c r="N47" s="60"/>
      <c r="O47" s="60"/>
    </row>
    <row r="48" spans="1:15" ht="11.25">
      <c r="A48" s="60"/>
      <c r="B48" s="46" t="s">
        <v>329</v>
      </c>
      <c r="C48" s="47">
        <v>1000</v>
      </c>
      <c r="D48" s="48">
        <v>26.7</v>
      </c>
      <c r="E48" s="48">
        <v>26.25</v>
      </c>
      <c r="F48" s="48">
        <f t="shared" si="4"/>
        <v>26250</v>
      </c>
      <c r="G48" s="49">
        <f>$F48/$F60</f>
        <v>0.0815374640160596</v>
      </c>
      <c r="H48" s="48">
        <f t="shared" si="5"/>
        <v>-450</v>
      </c>
      <c r="I48" s="63"/>
      <c r="J48" s="69" t="s">
        <v>246</v>
      </c>
      <c r="K48" s="70"/>
      <c r="L48" s="100">
        <v>546.5050000000956</v>
      </c>
      <c r="M48" s="60"/>
      <c r="N48" s="60"/>
      <c r="O48" s="60"/>
    </row>
    <row r="49" spans="1:15" ht="11.25">
      <c r="A49" s="60"/>
      <c r="B49" s="46" t="s">
        <v>205</v>
      </c>
      <c r="C49" s="47">
        <v>1000</v>
      </c>
      <c r="D49" s="48">
        <v>43.75</v>
      </c>
      <c r="E49" s="48">
        <v>42</v>
      </c>
      <c r="F49" s="48">
        <f t="shared" si="4"/>
        <v>42000</v>
      </c>
      <c r="G49" s="49">
        <f>$F49/$F60</f>
        <v>0.13045994242569536</v>
      </c>
      <c r="H49" s="48">
        <f t="shared" si="5"/>
        <v>-1750</v>
      </c>
      <c r="I49" s="65"/>
      <c r="J49" s="109" t="s">
        <v>244</v>
      </c>
      <c r="K49" s="109"/>
      <c r="L49" s="80">
        <v>0</v>
      </c>
      <c r="M49" s="60"/>
      <c r="N49" s="60"/>
      <c r="O49" s="60"/>
    </row>
    <row r="50" spans="1:15" ht="11.25">
      <c r="A50" s="60"/>
      <c r="B50" s="46" t="s">
        <v>322</v>
      </c>
      <c r="C50" s="47">
        <v>6700</v>
      </c>
      <c r="D50" s="48">
        <v>4.22</v>
      </c>
      <c r="E50" s="48">
        <v>4.2</v>
      </c>
      <c r="F50" s="48">
        <f t="shared" si="4"/>
        <v>28140</v>
      </c>
      <c r="G50" s="49">
        <f>$F50/$F60</f>
        <v>0.08740816142521589</v>
      </c>
      <c r="H50" s="48">
        <f t="shared" si="5"/>
        <v>-134</v>
      </c>
      <c r="I50" s="63"/>
      <c r="J50" s="109" t="s">
        <v>245</v>
      </c>
      <c r="K50" s="109"/>
      <c r="L50" s="80">
        <v>0</v>
      </c>
      <c r="M50" s="60"/>
      <c r="N50" s="60"/>
      <c r="O50" s="60"/>
    </row>
    <row r="51" spans="1:15" ht="11.25">
      <c r="A51" s="60"/>
      <c r="B51" s="46" t="s">
        <v>331</v>
      </c>
      <c r="C51" s="47">
        <v>300</v>
      </c>
      <c r="D51" s="48">
        <v>88</v>
      </c>
      <c r="E51" s="48">
        <v>88</v>
      </c>
      <c r="F51" s="48">
        <f t="shared" si="4"/>
        <v>26400</v>
      </c>
      <c r="G51" s="49">
        <f>$F51/$F60</f>
        <v>0.08200339238186566</v>
      </c>
      <c r="H51" s="48">
        <f t="shared" si="5"/>
        <v>0</v>
      </c>
      <c r="I51" s="65"/>
      <c r="J51" s="108" t="s">
        <v>253</v>
      </c>
      <c r="K51" s="108"/>
      <c r="L51" s="87">
        <f>$L43*$N43</f>
        <v>0</v>
      </c>
      <c r="M51" s="60"/>
      <c r="N51" s="58"/>
      <c r="O51" s="60"/>
    </row>
    <row r="52" spans="1:15" ht="11.25">
      <c r="A52" s="60"/>
      <c r="B52" s="46" t="s">
        <v>332</v>
      </c>
      <c r="C52" s="47">
        <v>500</v>
      </c>
      <c r="D52" s="48">
        <v>136.5</v>
      </c>
      <c r="E52" s="48">
        <v>135</v>
      </c>
      <c r="F52" s="48">
        <f t="shared" si="4"/>
        <v>67500</v>
      </c>
      <c r="G52" s="49">
        <f>$F52/$F60</f>
        <v>0.20966776461272468</v>
      </c>
      <c r="H52" s="48">
        <f t="shared" si="5"/>
        <v>-750</v>
      </c>
      <c r="I52" s="63"/>
      <c r="J52" s="109" t="s">
        <v>249</v>
      </c>
      <c r="K52" s="109"/>
      <c r="L52" s="80">
        <v>0</v>
      </c>
      <c r="M52" s="71"/>
      <c r="N52" s="60"/>
      <c r="O52" s="60"/>
    </row>
    <row r="53" spans="1:15" ht="11.25">
      <c r="A53" s="60"/>
      <c r="B53" s="111" t="s">
        <v>25</v>
      </c>
      <c r="C53" s="111"/>
      <c r="D53" s="111"/>
      <c r="E53" s="50"/>
      <c r="F53" s="50">
        <f>SUM($F44:$F52)</f>
        <v>296450</v>
      </c>
      <c r="G53" s="51">
        <f>SUM($G44:$G52)</f>
        <v>0.9208297602880331</v>
      </c>
      <c r="H53" s="48">
        <f>SUM(H44:H52)</f>
        <v>-4594</v>
      </c>
      <c r="I53" s="63"/>
      <c r="J53" s="108" t="s">
        <v>254</v>
      </c>
      <c r="K53" s="108"/>
      <c r="L53" s="87"/>
      <c r="M53" s="60"/>
      <c r="N53" s="94"/>
      <c r="O53" s="60"/>
    </row>
    <row r="54" spans="1:15" ht="11.25">
      <c r="A54" s="60"/>
      <c r="B54" s="104" t="s">
        <v>242</v>
      </c>
      <c r="C54" s="104"/>
      <c r="D54" s="48"/>
      <c r="E54" s="48"/>
      <c r="F54" s="48">
        <v>121742.94527687241</v>
      </c>
      <c r="G54" s="62"/>
      <c r="H54" s="62"/>
      <c r="I54" s="63"/>
      <c r="J54" s="109" t="s">
        <v>248</v>
      </c>
      <c r="K54" s="109"/>
      <c r="L54" s="80">
        <v>0</v>
      </c>
      <c r="M54" s="60"/>
      <c r="N54" s="60"/>
      <c r="O54" s="60"/>
    </row>
    <row r="55" spans="1:15" ht="11.25">
      <c r="A55" s="60"/>
      <c r="B55" s="52" t="s">
        <v>13</v>
      </c>
      <c r="C55" s="52"/>
      <c r="D55" s="48"/>
      <c r="E55" s="48"/>
      <c r="F55" s="48">
        <v>-96255.04449999999</v>
      </c>
      <c r="G55" s="62"/>
      <c r="H55" s="62"/>
      <c r="I55" s="63"/>
      <c r="J55" s="110" t="s">
        <v>247</v>
      </c>
      <c r="K55" s="110"/>
      <c r="L55" s="86">
        <f>SUM(L48:L50,L52,L54)</f>
        <v>546.5050000000956</v>
      </c>
      <c r="M55" s="60"/>
      <c r="N55" s="60"/>
      <c r="O55" s="60"/>
    </row>
    <row r="56" spans="1:15" ht="11.25">
      <c r="A56" s="60"/>
      <c r="B56" s="104" t="s">
        <v>26</v>
      </c>
      <c r="C56" s="104"/>
      <c r="D56" s="48"/>
      <c r="E56" s="48"/>
      <c r="F56" s="48">
        <v>0</v>
      </c>
      <c r="G56" s="62"/>
      <c r="H56" s="62">
        <f>SUM(F56:G56)</f>
        <v>0</v>
      </c>
      <c r="I56" s="63"/>
      <c r="J56" s="55" t="s">
        <v>203</v>
      </c>
      <c r="K56" s="55"/>
      <c r="L56" s="50">
        <v>226642.13779024742</v>
      </c>
      <c r="M56" s="60"/>
      <c r="N56" s="60"/>
      <c r="O56" s="60"/>
    </row>
    <row r="57" spans="1:15" ht="11.25">
      <c r="A57" s="60"/>
      <c r="B57" s="52" t="s">
        <v>102</v>
      </c>
      <c r="C57" s="52"/>
      <c r="D57" s="48"/>
      <c r="E57" s="48"/>
      <c r="F57" s="48">
        <v>0</v>
      </c>
      <c r="G57" s="62"/>
      <c r="H57" s="62"/>
      <c r="I57" s="63"/>
      <c r="J57" s="98" t="s">
        <v>118</v>
      </c>
      <c r="K57" s="98"/>
      <c r="L57" s="99">
        <f>SUM($L55:$L56)</f>
        <v>227188.6427902475</v>
      </c>
      <c r="M57" s="60"/>
      <c r="N57" s="60"/>
      <c r="O57" s="60"/>
    </row>
    <row r="58" spans="1:15" ht="13.5">
      <c r="A58" s="60"/>
      <c r="B58" s="104" t="s">
        <v>89</v>
      </c>
      <c r="C58" s="104"/>
      <c r="D58" s="48"/>
      <c r="E58" s="48"/>
      <c r="F58" s="48">
        <v>0</v>
      </c>
      <c r="G58" s="62"/>
      <c r="H58" s="62"/>
      <c r="I58" s="63"/>
      <c r="J58" s="106" t="s">
        <v>117</v>
      </c>
      <c r="K58" s="106"/>
      <c r="L58" s="85">
        <f>$F60+$L55+$L51+$L53</f>
        <v>322484.40577687253</v>
      </c>
      <c r="M58" s="60"/>
      <c r="N58" s="60"/>
      <c r="O58" s="60"/>
    </row>
    <row r="59" spans="1:15" ht="11.25">
      <c r="A59" s="60"/>
      <c r="B59" s="105" t="s">
        <v>243</v>
      </c>
      <c r="C59" s="105"/>
      <c r="D59" s="105"/>
      <c r="E59" s="53"/>
      <c r="F59" s="50">
        <f>SUM($F54:$F58)</f>
        <v>25487.900776872426</v>
      </c>
      <c r="G59" s="51">
        <f>$F59/$F60</f>
        <v>0.07917023971196697</v>
      </c>
      <c r="H59" s="57">
        <f>H41+5</f>
        <v>38005</v>
      </c>
      <c r="I59" s="63"/>
      <c r="J59" s="60"/>
      <c r="K59" s="60"/>
      <c r="L59" s="60"/>
      <c r="M59" s="60"/>
      <c r="N59" s="60"/>
      <c r="O59" s="60"/>
    </row>
    <row r="60" spans="1:15" ht="13.5">
      <c r="A60" s="60"/>
      <c r="B60" s="107" t="s">
        <v>15</v>
      </c>
      <c r="C60" s="107"/>
      <c r="D60" s="107"/>
      <c r="E60" s="54"/>
      <c r="F60" s="74">
        <f>SUM($F53,$F59)</f>
        <v>321937.9007768724</v>
      </c>
      <c r="G60" s="56">
        <f>SUM($G53,$G59)</f>
        <v>1</v>
      </c>
      <c r="H60" s="66"/>
      <c r="I60" s="63"/>
      <c r="J60" s="60"/>
      <c r="K60" s="60"/>
      <c r="L60" s="60"/>
      <c r="M60" s="60"/>
      <c r="N60" s="60"/>
      <c r="O60" s="60"/>
    </row>
    <row r="61" spans="1:15" ht="11.25">
      <c r="A61" s="60"/>
      <c r="B61" s="60"/>
      <c r="C61" s="60"/>
      <c r="D61" s="60"/>
      <c r="E61" s="60"/>
      <c r="F61" s="60"/>
      <c r="G61" s="66"/>
      <c r="H61" s="67"/>
      <c r="I61" s="63"/>
      <c r="J61" s="60"/>
      <c r="K61" s="60"/>
      <c r="L61" s="60"/>
      <c r="M61" s="60"/>
      <c r="N61" s="60"/>
      <c r="O61" s="60"/>
    </row>
    <row r="62" spans="1:15" ht="15.75">
      <c r="A62" s="60"/>
      <c r="B62" s="75"/>
      <c r="C62" s="75"/>
      <c r="D62" s="75"/>
      <c r="E62" s="76"/>
      <c r="F62" s="63"/>
      <c r="G62" s="77" t="s">
        <v>235</v>
      </c>
      <c r="H62" s="112">
        <v>38001</v>
      </c>
      <c r="I62" s="112"/>
      <c r="J62" s="112"/>
      <c r="K62" s="60"/>
      <c r="L62" s="60"/>
      <c r="M62" s="60"/>
      <c r="N62" s="60"/>
      <c r="O62" s="60"/>
    </row>
    <row r="63" spans="1:15" ht="11.25">
      <c r="A63" s="61"/>
      <c r="B63" s="113" t="s">
        <v>250</v>
      </c>
      <c r="C63" s="113"/>
      <c r="D63" s="113"/>
      <c r="E63" s="113"/>
      <c r="F63" s="113"/>
      <c r="G63" s="113"/>
      <c r="H63" s="113"/>
      <c r="I63" s="64"/>
      <c r="J63" s="68" t="s">
        <v>252</v>
      </c>
      <c r="K63" s="68"/>
      <c r="L63" s="47">
        <v>16967.852443668453</v>
      </c>
      <c r="M63" s="72"/>
      <c r="N63" s="73"/>
      <c r="O63" s="61"/>
    </row>
    <row r="64" spans="1:15" ht="11.25">
      <c r="A64" s="60"/>
      <c r="B64" s="45" t="s">
        <v>2</v>
      </c>
      <c r="C64" s="45" t="s">
        <v>4</v>
      </c>
      <c r="D64" s="45" t="s">
        <v>9</v>
      </c>
      <c r="E64" s="45" t="s">
        <v>10</v>
      </c>
      <c r="F64" s="45" t="s">
        <v>11</v>
      </c>
      <c r="G64" s="45" t="s">
        <v>12</v>
      </c>
      <c r="H64" s="45" t="s">
        <v>240</v>
      </c>
      <c r="I64" s="63"/>
      <c r="J64" s="68" t="s">
        <v>255</v>
      </c>
      <c r="K64" s="68"/>
      <c r="L64" s="81">
        <v>0</v>
      </c>
      <c r="M64" s="59" t="s">
        <v>251</v>
      </c>
      <c r="N64" s="83">
        <v>0</v>
      </c>
      <c r="O64" s="60"/>
    </row>
    <row r="65" spans="1:15" ht="11.25">
      <c r="A65" s="60"/>
      <c r="B65" s="46" t="s">
        <v>208</v>
      </c>
      <c r="C65" s="47">
        <v>300</v>
      </c>
      <c r="D65" s="48">
        <v>28.5</v>
      </c>
      <c r="E65" s="48">
        <v>27.75</v>
      </c>
      <c r="F65" s="48">
        <f aca="true" t="shared" si="6" ref="F65:F70">$C65*$E65</f>
        <v>8325</v>
      </c>
      <c r="G65" s="49">
        <f aca="true" t="shared" si="7" ref="G65:G70">$F65/F$79</f>
        <v>0.026299261858912005</v>
      </c>
      <c r="H65" s="48">
        <f aca="true" t="shared" si="8" ref="H65:H70">$F65-($C65*$D65)</f>
        <v>-225</v>
      </c>
      <c r="I65" s="65"/>
      <c r="J65" s="68" t="s">
        <v>256</v>
      </c>
      <c r="K65" s="68"/>
      <c r="L65" s="81">
        <v>0</v>
      </c>
      <c r="M65" s="59" t="s">
        <v>251</v>
      </c>
      <c r="N65" s="97">
        <v>0</v>
      </c>
      <c r="O65" s="60"/>
    </row>
    <row r="66" spans="1:15" ht="11.25">
      <c r="A66" s="60"/>
      <c r="B66" s="46" t="s">
        <v>318</v>
      </c>
      <c r="C66" s="47">
        <v>400</v>
      </c>
      <c r="D66" s="48">
        <v>103.3</v>
      </c>
      <c r="E66" s="48">
        <v>104</v>
      </c>
      <c r="F66" s="48">
        <f t="shared" si="6"/>
        <v>41600</v>
      </c>
      <c r="G66" s="49">
        <f t="shared" si="7"/>
        <v>0.13141733253222096</v>
      </c>
      <c r="H66" s="48">
        <f t="shared" si="8"/>
        <v>280</v>
      </c>
      <c r="I66" s="63"/>
      <c r="J66" s="78" t="s">
        <v>275</v>
      </c>
      <c r="K66" s="79"/>
      <c r="L66" s="82">
        <f>$L63-$L64+$L65</f>
        <v>16967.852443668453</v>
      </c>
      <c r="M66" s="60"/>
      <c r="N66" s="60"/>
      <c r="O66" s="60"/>
    </row>
    <row r="67" spans="1:15" ht="11.25">
      <c r="A67" s="60"/>
      <c r="B67" s="46" t="s">
        <v>200</v>
      </c>
      <c r="C67" s="47">
        <v>2000</v>
      </c>
      <c r="D67" s="48">
        <v>4.7</v>
      </c>
      <c r="E67" s="48">
        <v>4.12</v>
      </c>
      <c r="F67" s="48">
        <f t="shared" si="6"/>
        <v>8240</v>
      </c>
      <c r="G67" s="49">
        <f t="shared" si="7"/>
        <v>0.02603074086695915</v>
      </c>
      <c r="H67" s="48">
        <f t="shared" si="8"/>
        <v>-1160</v>
      </c>
      <c r="I67" s="65"/>
      <c r="J67" s="114" t="s">
        <v>24</v>
      </c>
      <c r="K67" s="114"/>
      <c r="L67" s="84">
        <f>$F79/$L66</f>
        <v>18.655796856307088</v>
      </c>
      <c r="M67" s="60"/>
      <c r="N67" s="60"/>
      <c r="O67" s="60"/>
    </row>
    <row r="68" spans="1:15" ht="11.25">
      <c r="A68" s="60"/>
      <c r="B68" s="46" t="s">
        <v>205</v>
      </c>
      <c r="C68" s="47">
        <v>1000</v>
      </c>
      <c r="D68" s="48">
        <v>43.75</v>
      </c>
      <c r="E68" s="48">
        <v>41.75</v>
      </c>
      <c r="F68" s="48">
        <f t="shared" si="6"/>
        <v>41750</v>
      </c>
      <c r="G68" s="49">
        <f t="shared" si="7"/>
        <v>0.1318911931062554</v>
      </c>
      <c r="H68" s="48">
        <f t="shared" si="8"/>
        <v>-2000</v>
      </c>
      <c r="I68" s="63"/>
      <c r="J68" s="115" t="s">
        <v>241</v>
      </c>
      <c r="K68" s="115"/>
      <c r="L68" s="115"/>
      <c r="M68" s="60"/>
      <c r="N68" s="60"/>
      <c r="O68" s="60"/>
    </row>
    <row r="69" spans="1:15" ht="11.25">
      <c r="A69" s="60"/>
      <c r="B69" s="46" t="s">
        <v>322</v>
      </c>
      <c r="C69" s="47">
        <v>6700</v>
      </c>
      <c r="D69" s="48">
        <v>4.22</v>
      </c>
      <c r="E69" s="48">
        <v>4.04</v>
      </c>
      <c r="F69" s="48">
        <f t="shared" si="6"/>
        <v>27068</v>
      </c>
      <c r="G69" s="49">
        <f t="shared" si="7"/>
        <v>0.08550972011976338</v>
      </c>
      <c r="H69" s="48">
        <f t="shared" si="8"/>
        <v>-1206</v>
      </c>
      <c r="I69" s="63"/>
      <c r="J69" s="69" t="s">
        <v>246</v>
      </c>
      <c r="K69" s="70"/>
      <c r="L69" s="100">
        <v>546.5050000000956</v>
      </c>
      <c r="M69" s="60"/>
      <c r="N69" s="60"/>
      <c r="O69" s="60"/>
    </row>
    <row r="70" spans="1:15" ht="11.25">
      <c r="A70" s="60"/>
      <c r="B70" s="46" t="s">
        <v>331</v>
      </c>
      <c r="C70" s="47">
        <v>300</v>
      </c>
      <c r="D70" s="48">
        <v>88</v>
      </c>
      <c r="E70" s="48">
        <v>84.5</v>
      </c>
      <c r="F70" s="48">
        <f t="shared" si="6"/>
        <v>25350</v>
      </c>
      <c r="G70" s="49">
        <f t="shared" si="7"/>
        <v>0.08008243701182213</v>
      </c>
      <c r="H70" s="48">
        <f t="shared" si="8"/>
        <v>-1050</v>
      </c>
      <c r="I70" s="65"/>
      <c r="J70" s="109" t="s">
        <v>244</v>
      </c>
      <c r="K70" s="109"/>
      <c r="L70" s="80">
        <v>0</v>
      </c>
      <c r="M70" s="60"/>
      <c r="N70" s="60"/>
      <c r="O70" s="60"/>
    </row>
    <row r="71" spans="1:15" ht="11.25">
      <c r="A71" s="60"/>
      <c r="B71" s="46"/>
      <c r="C71" s="47"/>
      <c r="D71" s="48"/>
      <c r="E71" s="48"/>
      <c r="F71" s="48"/>
      <c r="G71" s="49"/>
      <c r="H71" s="48"/>
      <c r="I71" s="63"/>
      <c r="J71" s="109" t="s">
        <v>245</v>
      </c>
      <c r="K71" s="109"/>
      <c r="L71" s="80">
        <v>0</v>
      </c>
      <c r="M71" s="60"/>
      <c r="N71" s="60"/>
      <c r="O71" s="60"/>
    </row>
    <row r="72" spans="1:15" ht="11.25">
      <c r="A72" s="60"/>
      <c r="B72" s="111" t="s">
        <v>25</v>
      </c>
      <c r="C72" s="111"/>
      <c r="D72" s="111"/>
      <c r="E72" s="50"/>
      <c r="F72" s="50">
        <f>SUM($F65:$F71)</f>
        <v>152333</v>
      </c>
      <c r="G72" s="51">
        <f>SUM($G65:$G71)</f>
        <v>0.48123068549593306</v>
      </c>
      <c r="H72" s="48">
        <f>SUM(H65:H71)</f>
        <v>-5361</v>
      </c>
      <c r="I72" s="65"/>
      <c r="J72" s="108" t="s">
        <v>253</v>
      </c>
      <c r="K72" s="108"/>
      <c r="L72" s="87">
        <f>$L64*$N64</f>
        <v>0</v>
      </c>
      <c r="M72" s="60"/>
      <c r="N72" s="58"/>
      <c r="O72" s="60"/>
    </row>
    <row r="73" spans="1:15" ht="11.25">
      <c r="A73" s="60"/>
      <c r="B73" s="104" t="s">
        <v>242</v>
      </c>
      <c r="C73" s="104"/>
      <c r="D73" s="48"/>
      <c r="E73" s="48"/>
      <c r="F73" s="48">
        <v>25487.900776872426</v>
      </c>
      <c r="G73" s="62"/>
      <c r="H73" s="62"/>
      <c r="I73" s="63"/>
      <c r="J73" s="109" t="s">
        <v>249</v>
      </c>
      <c r="K73" s="109"/>
      <c r="L73" s="80">
        <v>0</v>
      </c>
      <c r="M73" s="71"/>
      <c r="N73" s="60"/>
      <c r="O73" s="60"/>
    </row>
    <row r="74" spans="1:15" ht="11.25">
      <c r="A74" s="60"/>
      <c r="B74" s="52" t="s">
        <v>13</v>
      </c>
      <c r="C74" s="52"/>
      <c r="D74" s="48"/>
      <c r="E74" s="48"/>
      <c r="F74" s="48">
        <v>0</v>
      </c>
      <c r="G74" s="62"/>
      <c r="H74" s="62"/>
      <c r="I74" s="63"/>
      <c r="J74" s="108" t="s">
        <v>254</v>
      </c>
      <c r="K74" s="108"/>
      <c r="L74" s="87"/>
      <c r="M74" s="60"/>
      <c r="N74" s="94"/>
      <c r="O74" s="60"/>
    </row>
    <row r="75" spans="1:15" ht="11.25">
      <c r="A75" s="60"/>
      <c r="B75" s="104" t="s">
        <v>26</v>
      </c>
      <c r="C75" s="104"/>
      <c r="D75" s="48"/>
      <c r="E75" s="48"/>
      <c r="F75" s="48">
        <v>138727.9075</v>
      </c>
      <c r="G75" s="62"/>
      <c r="H75" s="62">
        <f>SUM(F75:G75)</f>
        <v>138727.9075</v>
      </c>
      <c r="I75" s="63"/>
      <c r="J75" s="109" t="s">
        <v>248</v>
      </c>
      <c r="K75" s="109"/>
      <c r="L75" s="80">
        <v>0</v>
      </c>
      <c r="M75" s="60"/>
      <c r="N75" s="60"/>
      <c r="O75" s="60"/>
    </row>
    <row r="76" spans="1:15" ht="11.25">
      <c r="A76" s="60"/>
      <c r="B76" s="52" t="s">
        <v>102</v>
      </c>
      <c r="C76" s="52"/>
      <c r="D76" s="48"/>
      <c r="E76" s="48"/>
      <c r="F76" s="48">
        <v>0</v>
      </c>
      <c r="G76" s="62"/>
      <c r="H76" s="62"/>
      <c r="I76" s="63"/>
      <c r="J76" s="110" t="s">
        <v>247</v>
      </c>
      <c r="K76" s="110"/>
      <c r="L76" s="86">
        <f>SUM(L69:L71,L73,L75)</f>
        <v>546.5050000000956</v>
      </c>
      <c r="M76" s="60"/>
      <c r="N76" s="60"/>
      <c r="O76" s="60"/>
    </row>
    <row r="77" spans="1:15" ht="11.25">
      <c r="A77" s="60"/>
      <c r="B77" s="104" t="s">
        <v>89</v>
      </c>
      <c r="C77" s="104"/>
      <c r="D77" s="48"/>
      <c r="E77" s="48"/>
      <c r="F77" s="48">
        <v>0</v>
      </c>
      <c r="G77" s="62"/>
      <c r="H77" s="62"/>
      <c r="I77" s="63"/>
      <c r="J77" s="55" t="s">
        <v>203</v>
      </c>
      <c r="K77" s="55"/>
      <c r="L77" s="50">
        <v>149536.4252768724</v>
      </c>
      <c r="M77" s="60"/>
      <c r="N77" s="60"/>
      <c r="O77" s="60"/>
    </row>
    <row r="78" spans="1:15" ht="11.25">
      <c r="A78" s="60"/>
      <c r="B78" s="105" t="s">
        <v>243</v>
      </c>
      <c r="C78" s="105"/>
      <c r="D78" s="105"/>
      <c r="E78" s="53"/>
      <c r="F78" s="50">
        <f>SUM($F73:$F77)</f>
        <v>164215.80827687244</v>
      </c>
      <c r="G78" s="51">
        <f>$F78/$F79</f>
        <v>0.5187693145040669</v>
      </c>
      <c r="H78" s="57">
        <f>H62+5</f>
        <v>38006</v>
      </c>
      <c r="I78" s="63"/>
      <c r="J78" s="98" t="s">
        <v>118</v>
      </c>
      <c r="K78" s="98"/>
      <c r="L78" s="99">
        <f>SUM($L76:$L77)</f>
        <v>150082.9302768725</v>
      </c>
      <c r="M78" s="60"/>
      <c r="N78" s="60"/>
      <c r="O78" s="60"/>
    </row>
    <row r="79" spans="1:15" ht="13.5">
      <c r="A79" s="60"/>
      <c r="B79" s="107" t="s">
        <v>15</v>
      </c>
      <c r="C79" s="107"/>
      <c r="D79" s="107"/>
      <c r="E79" s="54"/>
      <c r="F79" s="74">
        <f>SUM($F72,$F78)</f>
        <v>316548.80827687244</v>
      </c>
      <c r="G79" s="56">
        <f>SUM($G72,$G78)</f>
        <v>1</v>
      </c>
      <c r="H79" s="66"/>
      <c r="I79" s="63"/>
      <c r="J79" s="106" t="s">
        <v>117</v>
      </c>
      <c r="K79" s="106"/>
      <c r="L79" s="85">
        <f>$F79+$L76+$L72+$L74</f>
        <v>317095.31327687256</v>
      </c>
      <c r="M79" s="60"/>
      <c r="N79" s="60"/>
      <c r="O79" s="60"/>
    </row>
    <row r="80" spans="1:15" ht="11.25">
      <c r="A80" s="60"/>
      <c r="B80" s="60"/>
      <c r="C80" s="60"/>
      <c r="D80" s="60"/>
      <c r="E80" s="60"/>
      <c r="F80" s="60"/>
      <c r="G80" s="66"/>
      <c r="H80" s="67"/>
      <c r="I80" s="63"/>
      <c r="J80" s="60"/>
      <c r="K80" s="60"/>
      <c r="L80" s="60"/>
      <c r="M80" s="60"/>
      <c r="N80" s="60"/>
      <c r="O80" s="60"/>
    </row>
    <row r="81" spans="1:15" ht="15.75">
      <c r="A81" s="60"/>
      <c r="B81" s="75"/>
      <c r="C81" s="75"/>
      <c r="D81" s="75"/>
      <c r="E81" s="76"/>
      <c r="F81" s="63"/>
      <c r="G81" s="77" t="s">
        <v>237</v>
      </c>
      <c r="H81" s="112">
        <v>38002</v>
      </c>
      <c r="I81" s="112"/>
      <c r="J81" s="112"/>
      <c r="K81" s="60"/>
      <c r="L81" s="60"/>
      <c r="M81" s="60"/>
      <c r="N81" s="60"/>
      <c r="O81" s="60"/>
    </row>
    <row r="82" spans="1:15" ht="11.25">
      <c r="A82" s="61"/>
      <c r="B82" s="113" t="s">
        <v>250</v>
      </c>
      <c r="C82" s="113"/>
      <c r="D82" s="113"/>
      <c r="E82" s="113"/>
      <c r="F82" s="113"/>
      <c r="G82" s="113"/>
      <c r="H82" s="113"/>
      <c r="I82" s="64"/>
      <c r="J82" s="68" t="s">
        <v>252</v>
      </c>
      <c r="K82" s="68"/>
      <c r="L82" s="47">
        <v>16967.852443668453</v>
      </c>
      <c r="M82" s="72"/>
      <c r="N82" s="73"/>
      <c r="O82" s="61"/>
    </row>
    <row r="83" spans="1:15" ht="11.25">
      <c r="A83" s="60"/>
      <c r="B83" s="45" t="s">
        <v>2</v>
      </c>
      <c r="C83" s="45" t="s">
        <v>4</v>
      </c>
      <c r="D83" s="45" t="s">
        <v>9</v>
      </c>
      <c r="E83" s="45" t="s">
        <v>10</v>
      </c>
      <c r="F83" s="45" t="s">
        <v>11</v>
      </c>
      <c r="G83" s="45" t="s">
        <v>12</v>
      </c>
      <c r="H83" s="45" t="s">
        <v>240</v>
      </c>
      <c r="I83" s="63"/>
      <c r="J83" s="68" t="s">
        <v>255</v>
      </c>
      <c r="K83" s="68"/>
      <c r="L83" s="81">
        <v>0</v>
      </c>
      <c r="M83" s="59" t="s">
        <v>251</v>
      </c>
      <c r="N83" s="83">
        <v>0</v>
      </c>
      <c r="O83" s="60"/>
    </row>
    <row r="84" spans="1:15" ht="11.25">
      <c r="A84" s="60"/>
      <c r="B84" s="46" t="s">
        <v>208</v>
      </c>
      <c r="C84" s="47">
        <v>300</v>
      </c>
      <c r="D84" s="48">
        <v>28.5</v>
      </c>
      <c r="E84" s="48">
        <v>27.75</v>
      </c>
      <c r="F84" s="48">
        <f aca="true" t="shared" si="9" ref="F84:F89">$C84*$E84</f>
        <v>8325</v>
      </c>
      <c r="G84" s="49">
        <f aca="true" t="shared" si="10" ref="G84:G89">$F84/F$79</f>
        <v>0.026299261858912005</v>
      </c>
      <c r="H84" s="48">
        <f aca="true" t="shared" si="11" ref="H84:H89">$F84-($C84*$D84)</f>
        <v>-225</v>
      </c>
      <c r="I84" s="65"/>
      <c r="J84" s="68" t="s">
        <v>256</v>
      </c>
      <c r="K84" s="68"/>
      <c r="L84" s="81">
        <v>0</v>
      </c>
      <c r="M84" s="59" t="s">
        <v>251</v>
      </c>
      <c r="N84" s="97">
        <v>0</v>
      </c>
      <c r="O84" s="60"/>
    </row>
    <row r="85" spans="1:15" ht="11.25">
      <c r="A85" s="60"/>
      <c r="B85" s="46" t="s">
        <v>318</v>
      </c>
      <c r="C85" s="47">
        <v>400</v>
      </c>
      <c r="D85" s="48">
        <v>103.3</v>
      </c>
      <c r="E85" s="48">
        <v>104</v>
      </c>
      <c r="F85" s="48">
        <f t="shared" si="9"/>
        <v>41600</v>
      </c>
      <c r="G85" s="49">
        <f t="shared" si="10"/>
        <v>0.13141733253222096</v>
      </c>
      <c r="H85" s="48">
        <f t="shared" si="11"/>
        <v>280</v>
      </c>
      <c r="I85" s="63"/>
      <c r="J85" s="78" t="s">
        <v>275</v>
      </c>
      <c r="K85" s="79"/>
      <c r="L85" s="82">
        <f>$L82-$L83+$L84</f>
        <v>16967.852443668453</v>
      </c>
      <c r="M85" s="60"/>
      <c r="N85" s="60"/>
      <c r="O85" s="60"/>
    </row>
    <row r="86" spans="1:15" ht="11.25">
      <c r="A86" s="60"/>
      <c r="B86" s="46" t="s">
        <v>23</v>
      </c>
      <c r="C86" s="47">
        <v>1000</v>
      </c>
      <c r="D86" s="48">
        <v>11.8</v>
      </c>
      <c r="E86" s="48">
        <v>11.8</v>
      </c>
      <c r="F86" s="48">
        <f t="shared" si="9"/>
        <v>11800</v>
      </c>
      <c r="G86" s="49">
        <f t="shared" si="10"/>
        <v>0.03727703182404344</v>
      </c>
      <c r="H86" s="48">
        <f t="shared" si="11"/>
        <v>0</v>
      </c>
      <c r="I86" s="65"/>
      <c r="J86" s="114" t="s">
        <v>24</v>
      </c>
      <c r="K86" s="114"/>
      <c r="L86" s="84">
        <f>$F98/$L85</f>
        <v>18.615904359466533</v>
      </c>
      <c r="M86" s="60"/>
      <c r="N86" s="60"/>
      <c r="O86" s="60"/>
    </row>
    <row r="87" spans="1:15" ht="11.25">
      <c r="A87" s="60"/>
      <c r="B87" s="46" t="s">
        <v>205</v>
      </c>
      <c r="C87" s="47">
        <v>1000</v>
      </c>
      <c r="D87" s="48">
        <v>43.75</v>
      </c>
      <c r="E87" s="48">
        <v>41.75</v>
      </c>
      <c r="F87" s="48">
        <f t="shared" si="9"/>
        <v>41750</v>
      </c>
      <c r="G87" s="49">
        <f t="shared" si="10"/>
        <v>0.1318911931062554</v>
      </c>
      <c r="H87" s="48">
        <f t="shared" si="11"/>
        <v>-2000</v>
      </c>
      <c r="I87" s="63"/>
      <c r="J87" s="115" t="s">
        <v>241</v>
      </c>
      <c r="K87" s="115"/>
      <c r="L87" s="115"/>
      <c r="M87" s="60"/>
      <c r="N87" s="60"/>
      <c r="O87" s="60"/>
    </row>
    <row r="88" spans="1:15" ht="11.25">
      <c r="A88" s="60"/>
      <c r="B88" s="46" t="s">
        <v>200</v>
      </c>
      <c r="C88" s="47">
        <v>13000</v>
      </c>
      <c r="D88" s="48">
        <v>4.2</v>
      </c>
      <c r="E88" s="48">
        <v>4.14</v>
      </c>
      <c r="F88" s="48">
        <f t="shared" si="9"/>
        <v>53819.99999999999</v>
      </c>
      <c r="G88" s="49">
        <f t="shared" si="10"/>
        <v>0.17002117396356084</v>
      </c>
      <c r="H88" s="48">
        <f t="shared" si="11"/>
        <v>-780.0000000000073</v>
      </c>
      <c r="I88" s="63"/>
      <c r="J88" s="69" t="s">
        <v>246</v>
      </c>
      <c r="K88" s="70"/>
      <c r="L88" s="100">
        <v>546.5050000000956</v>
      </c>
      <c r="M88" s="60"/>
      <c r="N88" s="60"/>
      <c r="O88" s="60"/>
    </row>
    <row r="89" spans="1:15" ht="11.25">
      <c r="A89" s="60"/>
      <c r="B89" s="46" t="s">
        <v>334</v>
      </c>
      <c r="C89" s="47">
        <v>1000</v>
      </c>
      <c r="D89" s="48">
        <v>20.75</v>
      </c>
      <c r="E89" s="48">
        <v>20.8</v>
      </c>
      <c r="F89" s="48">
        <f t="shared" si="9"/>
        <v>20800</v>
      </c>
      <c r="G89" s="49">
        <f t="shared" si="10"/>
        <v>0.06570866626611048</v>
      </c>
      <c r="H89" s="48">
        <f t="shared" si="11"/>
        <v>50</v>
      </c>
      <c r="I89" s="65"/>
      <c r="J89" s="109" t="s">
        <v>244</v>
      </c>
      <c r="K89" s="109"/>
      <c r="L89" s="80">
        <v>0</v>
      </c>
      <c r="M89" s="60"/>
      <c r="N89" s="60"/>
      <c r="O89" s="60"/>
    </row>
    <row r="90" spans="1:15" ht="11.25">
      <c r="A90" s="60"/>
      <c r="B90" s="46"/>
      <c r="C90" s="47"/>
      <c r="D90" s="48"/>
      <c r="E90" s="48"/>
      <c r="F90" s="48"/>
      <c r="G90" s="49"/>
      <c r="H90" s="48"/>
      <c r="I90" s="63"/>
      <c r="J90" s="109" t="s">
        <v>245</v>
      </c>
      <c r="K90" s="109"/>
      <c r="L90" s="80">
        <v>0</v>
      </c>
      <c r="M90" s="60"/>
      <c r="N90" s="60"/>
      <c r="O90" s="60"/>
    </row>
    <row r="91" spans="1:15" ht="11.25">
      <c r="A91" s="60"/>
      <c r="B91" s="111" t="s">
        <v>25</v>
      </c>
      <c r="C91" s="111"/>
      <c r="D91" s="111"/>
      <c r="E91" s="50"/>
      <c r="F91" s="50">
        <f>SUM($F84:$F90)</f>
        <v>178095</v>
      </c>
      <c r="G91" s="51">
        <f>SUM($G84:$G90)</f>
        <v>0.5626146595511031</v>
      </c>
      <c r="H91" s="48">
        <f>SUM(H84:H90)</f>
        <v>-2675.0000000000073</v>
      </c>
      <c r="I91" s="65"/>
      <c r="J91" s="108" t="s">
        <v>253</v>
      </c>
      <c r="K91" s="108"/>
      <c r="L91" s="87">
        <f>$L83*$N83</f>
        <v>0</v>
      </c>
      <c r="M91" s="60"/>
      <c r="N91" s="58"/>
      <c r="O91" s="60"/>
    </row>
    <row r="92" spans="1:15" ht="11.25">
      <c r="A92" s="60"/>
      <c r="B92" s="104" t="s">
        <v>242</v>
      </c>
      <c r="C92" s="104"/>
      <c r="D92" s="48"/>
      <c r="E92" s="48"/>
      <c r="F92" s="48">
        <v>164215.80827687244</v>
      </c>
      <c r="G92" s="62"/>
      <c r="H92" s="62"/>
      <c r="I92" s="63"/>
      <c r="J92" s="109" t="s">
        <v>249</v>
      </c>
      <c r="K92" s="109"/>
      <c r="L92" s="80">
        <v>0</v>
      </c>
      <c r="M92" s="71"/>
      <c r="N92" s="60"/>
      <c r="O92" s="60"/>
    </row>
    <row r="93" spans="1:15" ht="11.25">
      <c r="A93" s="60"/>
      <c r="B93" s="52" t="s">
        <v>13</v>
      </c>
      <c r="C93" s="52"/>
      <c r="D93" s="48"/>
      <c r="E93" s="48"/>
      <c r="F93" s="48">
        <v>-26438.89</v>
      </c>
      <c r="G93" s="62"/>
      <c r="H93" s="62"/>
      <c r="I93" s="63"/>
      <c r="J93" s="108" t="s">
        <v>254</v>
      </c>
      <c r="K93" s="108"/>
      <c r="L93" s="87"/>
      <c r="M93" s="60"/>
      <c r="N93" s="94"/>
      <c r="O93" s="60"/>
    </row>
    <row r="94" spans="1:15" ht="11.25">
      <c r="A94" s="60"/>
      <c r="B94" s="104" t="s">
        <v>26</v>
      </c>
      <c r="C94" s="104"/>
      <c r="D94" s="48"/>
      <c r="E94" s="48"/>
      <c r="F94" s="48">
        <v>0</v>
      </c>
      <c r="G94" s="62"/>
      <c r="H94" s="62">
        <f>SUM(F94:G94)</f>
        <v>0</v>
      </c>
      <c r="I94" s="63"/>
      <c r="J94" s="109" t="s">
        <v>248</v>
      </c>
      <c r="K94" s="109"/>
      <c r="L94" s="80">
        <v>0</v>
      </c>
      <c r="M94" s="60"/>
      <c r="N94" s="60"/>
      <c r="O94" s="60"/>
    </row>
    <row r="95" spans="1:15" ht="11.25">
      <c r="A95" s="60"/>
      <c r="B95" s="52" t="s">
        <v>102</v>
      </c>
      <c r="C95" s="52"/>
      <c r="D95" s="48"/>
      <c r="E95" s="48"/>
      <c r="F95" s="48">
        <v>0</v>
      </c>
      <c r="G95" s="62"/>
      <c r="H95" s="62"/>
      <c r="I95" s="63"/>
      <c r="J95" s="110" t="s">
        <v>247</v>
      </c>
      <c r="K95" s="110"/>
      <c r="L95" s="86">
        <f>SUM(L88:L90,L92,L94)</f>
        <v>546.5050000000956</v>
      </c>
      <c r="M95" s="60"/>
      <c r="N95" s="60"/>
      <c r="O95" s="60"/>
    </row>
    <row r="96" spans="1:15" ht="11.25">
      <c r="A96" s="60"/>
      <c r="B96" s="104" t="s">
        <v>89</v>
      </c>
      <c r="C96" s="104"/>
      <c r="D96" s="48"/>
      <c r="E96" s="48"/>
      <c r="F96" s="48">
        <v>0</v>
      </c>
      <c r="G96" s="62"/>
      <c r="H96" s="62"/>
      <c r="I96" s="63"/>
      <c r="J96" s="55" t="s">
        <v>203</v>
      </c>
      <c r="K96" s="55"/>
      <c r="L96" s="50">
        <v>121742.94527687241</v>
      </c>
      <c r="M96" s="60"/>
      <c r="N96" s="60"/>
      <c r="O96" s="60"/>
    </row>
    <row r="97" spans="1:15" ht="11.25">
      <c r="A97" s="60"/>
      <c r="B97" s="105" t="s">
        <v>243</v>
      </c>
      <c r="C97" s="105"/>
      <c r="D97" s="105"/>
      <c r="E97" s="53"/>
      <c r="F97" s="50">
        <f>SUM($F92:$F96)</f>
        <v>137776.91827687243</v>
      </c>
      <c r="G97" s="51">
        <f>$F97/$F98</f>
        <v>0.43617969912762644</v>
      </c>
      <c r="H97" s="57">
        <f>H81+5</f>
        <v>38007</v>
      </c>
      <c r="I97" s="63"/>
      <c r="J97" s="98" t="s">
        <v>118</v>
      </c>
      <c r="K97" s="98"/>
      <c r="L97" s="99">
        <f>SUM($L95:$L96)</f>
        <v>122289.4502768725</v>
      </c>
      <c r="M97" s="60"/>
      <c r="N97" s="60"/>
      <c r="O97" s="60"/>
    </row>
    <row r="98" spans="1:15" ht="13.5">
      <c r="A98" s="60"/>
      <c r="B98" s="107" t="s">
        <v>15</v>
      </c>
      <c r="C98" s="107"/>
      <c r="D98" s="107"/>
      <c r="E98" s="54"/>
      <c r="F98" s="74">
        <f>SUM($F91,$F97)</f>
        <v>315871.9182768724</v>
      </c>
      <c r="G98" s="56">
        <f>SUM($G91,$G97)</f>
        <v>0.9987943586787296</v>
      </c>
      <c r="H98" s="66"/>
      <c r="I98" s="63"/>
      <c r="J98" s="106" t="s">
        <v>117</v>
      </c>
      <c r="K98" s="106"/>
      <c r="L98" s="85">
        <f>$F98+$L95+$L91+$L93</f>
        <v>316418.42327687255</v>
      </c>
      <c r="M98" s="60"/>
      <c r="N98" s="60"/>
      <c r="O98" s="60"/>
    </row>
    <row r="99" spans="1:15" ht="11.25">
      <c r="A99" s="60"/>
      <c r="B99" s="60"/>
      <c r="C99" s="60"/>
      <c r="D99" s="60"/>
      <c r="E99" s="60"/>
      <c r="F99" s="60"/>
      <c r="G99" s="66"/>
      <c r="H99" s="67"/>
      <c r="I99" s="63"/>
      <c r="J99" s="60"/>
      <c r="K99" s="60"/>
      <c r="L99" s="60"/>
      <c r="M99" s="60"/>
      <c r="N99" s="60"/>
      <c r="O99" s="60"/>
    </row>
  </sheetData>
  <mergeCells count="90">
    <mergeCell ref="B58:C58"/>
    <mergeCell ref="B59:D59"/>
    <mergeCell ref="J58:K58"/>
    <mergeCell ref="B60:D60"/>
    <mergeCell ref="B54:C54"/>
    <mergeCell ref="J53:K53"/>
    <mergeCell ref="J54:K54"/>
    <mergeCell ref="B56:C56"/>
    <mergeCell ref="J55:K55"/>
    <mergeCell ref="J49:K49"/>
    <mergeCell ref="J50:K50"/>
    <mergeCell ref="J51:K51"/>
    <mergeCell ref="B53:D53"/>
    <mergeCell ref="J52:K52"/>
    <mergeCell ref="H41:J41"/>
    <mergeCell ref="B42:H42"/>
    <mergeCell ref="J46:K46"/>
    <mergeCell ref="J47:L47"/>
    <mergeCell ref="B17:C17"/>
    <mergeCell ref="B18:D18"/>
    <mergeCell ref="J18:K18"/>
    <mergeCell ref="B19:D19"/>
    <mergeCell ref="B13:C13"/>
    <mergeCell ref="J13:K13"/>
    <mergeCell ref="J14:K14"/>
    <mergeCell ref="B15:C15"/>
    <mergeCell ref="J15:K15"/>
    <mergeCell ref="J9:K9"/>
    <mergeCell ref="J10:K10"/>
    <mergeCell ref="J11:K11"/>
    <mergeCell ref="B12:D12"/>
    <mergeCell ref="J12:K12"/>
    <mergeCell ref="H1:J1"/>
    <mergeCell ref="B2:H2"/>
    <mergeCell ref="J6:K6"/>
    <mergeCell ref="J7:L7"/>
    <mergeCell ref="H21:J21"/>
    <mergeCell ref="B22:H22"/>
    <mergeCell ref="J26:K26"/>
    <mergeCell ref="J27:L27"/>
    <mergeCell ref="J29:K29"/>
    <mergeCell ref="J30:K30"/>
    <mergeCell ref="J31:K31"/>
    <mergeCell ref="B32:D32"/>
    <mergeCell ref="J32:K32"/>
    <mergeCell ref="B33:C33"/>
    <mergeCell ref="J33:K33"/>
    <mergeCell ref="J34:K34"/>
    <mergeCell ref="B35:C35"/>
    <mergeCell ref="J35:K35"/>
    <mergeCell ref="B37:C37"/>
    <mergeCell ref="B38:D38"/>
    <mergeCell ref="J38:K38"/>
    <mergeCell ref="B39:D39"/>
    <mergeCell ref="H62:J62"/>
    <mergeCell ref="B63:H63"/>
    <mergeCell ref="J67:K67"/>
    <mergeCell ref="J68:L68"/>
    <mergeCell ref="J70:K70"/>
    <mergeCell ref="J71:K71"/>
    <mergeCell ref="J72:K72"/>
    <mergeCell ref="J73:K73"/>
    <mergeCell ref="B72:D72"/>
    <mergeCell ref="J74:K74"/>
    <mergeCell ref="B73:C73"/>
    <mergeCell ref="J75:K75"/>
    <mergeCell ref="B78:D78"/>
    <mergeCell ref="B79:D79"/>
    <mergeCell ref="J76:K76"/>
    <mergeCell ref="B75:C75"/>
    <mergeCell ref="B77:C77"/>
    <mergeCell ref="J79:K79"/>
    <mergeCell ref="H81:J81"/>
    <mergeCell ref="B82:H82"/>
    <mergeCell ref="J86:K86"/>
    <mergeCell ref="J87:L87"/>
    <mergeCell ref="J89:K89"/>
    <mergeCell ref="J90:K90"/>
    <mergeCell ref="B91:D91"/>
    <mergeCell ref="J91:K91"/>
    <mergeCell ref="B92:C92"/>
    <mergeCell ref="J92:K92"/>
    <mergeCell ref="J93:K93"/>
    <mergeCell ref="B94:C94"/>
    <mergeCell ref="J94:K94"/>
    <mergeCell ref="J95:K95"/>
    <mergeCell ref="B96:C96"/>
    <mergeCell ref="B97:D97"/>
    <mergeCell ref="B98:D98"/>
    <mergeCell ref="J98:K9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63">
      <selection activeCell="F95" sqref="F95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60"/>
      <c r="B1" s="75"/>
      <c r="C1" s="75"/>
      <c r="D1" s="75"/>
      <c r="E1" s="76"/>
      <c r="F1" s="63"/>
      <c r="G1" s="77" t="s">
        <v>229</v>
      </c>
      <c r="H1" s="112">
        <v>38005</v>
      </c>
      <c r="I1" s="112"/>
      <c r="J1" s="112"/>
      <c r="K1" s="60"/>
      <c r="L1" s="60"/>
      <c r="M1" s="60"/>
      <c r="N1" s="60"/>
      <c r="O1" s="60"/>
    </row>
    <row r="2" spans="1:15" ht="11.25">
      <c r="A2" s="61"/>
      <c r="B2" s="113" t="s">
        <v>250</v>
      </c>
      <c r="C2" s="113"/>
      <c r="D2" s="113"/>
      <c r="E2" s="113"/>
      <c r="F2" s="113"/>
      <c r="G2" s="113"/>
      <c r="H2" s="113"/>
      <c r="I2" s="64"/>
      <c r="J2" s="68" t="s">
        <v>252</v>
      </c>
      <c r="K2" s="68"/>
      <c r="L2" s="47">
        <v>16967.852443668453</v>
      </c>
      <c r="M2" s="72"/>
      <c r="N2" s="73"/>
      <c r="O2" s="61"/>
    </row>
    <row r="3" spans="1:15" ht="11.25">
      <c r="A3" s="60"/>
      <c r="B3" s="45" t="s">
        <v>2</v>
      </c>
      <c r="C3" s="45" t="s">
        <v>4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240</v>
      </c>
      <c r="I3" s="63"/>
      <c r="J3" s="68" t="s">
        <v>255</v>
      </c>
      <c r="K3" s="68"/>
      <c r="L3" s="81">
        <v>0</v>
      </c>
      <c r="M3" s="59" t="s">
        <v>251</v>
      </c>
      <c r="N3" s="83">
        <v>0</v>
      </c>
      <c r="O3" s="60"/>
    </row>
    <row r="4" spans="1:15" ht="11.25">
      <c r="A4" s="60"/>
      <c r="B4" s="46" t="s">
        <v>208</v>
      </c>
      <c r="C4" s="47">
        <v>300</v>
      </c>
      <c r="D4" s="48">
        <v>28.5</v>
      </c>
      <c r="E4" s="48">
        <v>26</v>
      </c>
      <c r="F4" s="48">
        <f aca="true" t="shared" si="0" ref="F4:F9">$C4*$E4</f>
        <v>7800</v>
      </c>
      <c r="G4" s="49">
        <f aca="true" t="shared" si="1" ref="G4:G9">$F4/F$18</f>
        <v>0.025051429438303303</v>
      </c>
      <c r="H4" s="48">
        <f aca="true" t="shared" si="2" ref="H4:H9">$F4-($C4*$D4)</f>
        <v>-750</v>
      </c>
      <c r="I4" s="65"/>
      <c r="J4" s="68" t="s">
        <v>256</v>
      </c>
      <c r="K4" s="68"/>
      <c r="L4" s="81">
        <v>0</v>
      </c>
      <c r="M4" s="59" t="s">
        <v>251</v>
      </c>
      <c r="N4" s="97">
        <v>0</v>
      </c>
      <c r="O4" s="60"/>
    </row>
    <row r="5" spans="1:15" ht="11.25">
      <c r="A5" s="60"/>
      <c r="B5" s="46" t="s">
        <v>318</v>
      </c>
      <c r="C5" s="47">
        <v>400</v>
      </c>
      <c r="D5" s="48">
        <v>103.3</v>
      </c>
      <c r="E5" s="48">
        <v>104</v>
      </c>
      <c r="F5" s="48">
        <f t="shared" si="0"/>
        <v>41600</v>
      </c>
      <c r="G5" s="49">
        <f t="shared" si="1"/>
        <v>0.13360762367095094</v>
      </c>
      <c r="H5" s="48">
        <f t="shared" si="2"/>
        <v>280</v>
      </c>
      <c r="I5" s="63"/>
      <c r="J5" s="78" t="s">
        <v>275</v>
      </c>
      <c r="K5" s="79"/>
      <c r="L5" s="82">
        <f>$L2-$L3+$L4</f>
        <v>16967.852443668453</v>
      </c>
      <c r="M5" s="60"/>
      <c r="N5" s="60"/>
      <c r="O5" s="60"/>
    </row>
    <row r="6" spans="1:15" ht="11.25">
      <c r="A6" s="60"/>
      <c r="B6" s="46" t="s">
        <v>23</v>
      </c>
      <c r="C6" s="47">
        <v>2000</v>
      </c>
      <c r="D6" s="48">
        <v>11.82</v>
      </c>
      <c r="E6" s="48">
        <v>11.5</v>
      </c>
      <c r="F6" s="48">
        <f t="shared" si="0"/>
        <v>23000</v>
      </c>
      <c r="G6" s="49">
        <f t="shared" si="1"/>
        <v>0.07386959962576616</v>
      </c>
      <c r="H6" s="48">
        <f t="shared" si="2"/>
        <v>-640</v>
      </c>
      <c r="I6" s="65"/>
      <c r="J6" s="114" t="s">
        <v>24</v>
      </c>
      <c r="K6" s="114"/>
      <c r="L6" s="84">
        <f>$F18/$L5</f>
        <v>18.3499638101259</v>
      </c>
      <c r="M6" s="60"/>
      <c r="N6" s="60"/>
      <c r="O6" s="60"/>
    </row>
    <row r="7" spans="1:15" ht="11.25">
      <c r="A7" s="60"/>
      <c r="B7" s="46" t="s">
        <v>205</v>
      </c>
      <c r="C7" s="47">
        <v>1000</v>
      </c>
      <c r="D7" s="48">
        <v>43.75</v>
      </c>
      <c r="E7" s="48">
        <v>41.5</v>
      </c>
      <c r="F7" s="48">
        <f t="shared" si="0"/>
        <v>41500</v>
      </c>
      <c r="G7" s="49">
        <f t="shared" si="1"/>
        <v>0.13328645149866503</v>
      </c>
      <c r="H7" s="48">
        <f t="shared" si="2"/>
        <v>-2250</v>
      </c>
      <c r="I7" s="63"/>
      <c r="J7" s="115" t="s">
        <v>241</v>
      </c>
      <c r="K7" s="115"/>
      <c r="L7" s="115"/>
      <c r="M7" s="60"/>
      <c r="N7" s="60"/>
      <c r="O7" s="60"/>
    </row>
    <row r="8" spans="1:15" ht="11.25">
      <c r="A8" s="60"/>
      <c r="B8" s="46" t="s">
        <v>200</v>
      </c>
      <c r="C8" s="47">
        <v>18000</v>
      </c>
      <c r="D8" s="48">
        <v>4.18</v>
      </c>
      <c r="E8" s="48">
        <v>4.08</v>
      </c>
      <c r="F8" s="48">
        <f t="shared" si="0"/>
        <v>73440</v>
      </c>
      <c r="G8" s="49">
        <f t="shared" si="1"/>
        <v>0.2358688433267942</v>
      </c>
      <c r="H8" s="48">
        <f t="shared" si="2"/>
        <v>-1800</v>
      </c>
      <c r="I8" s="63"/>
      <c r="J8" s="69" t="s">
        <v>246</v>
      </c>
      <c r="K8" s="70"/>
      <c r="L8" s="100">
        <v>546.5050000000956</v>
      </c>
      <c r="M8" s="60"/>
      <c r="N8" s="60"/>
      <c r="O8" s="60"/>
    </row>
    <row r="9" spans="1:15" ht="11.25">
      <c r="A9" s="60"/>
      <c r="B9" s="46" t="s">
        <v>334</v>
      </c>
      <c r="C9" s="47">
        <v>2500</v>
      </c>
      <c r="D9" s="48">
        <v>20.4</v>
      </c>
      <c r="E9" s="48">
        <v>19.6</v>
      </c>
      <c r="F9" s="48">
        <f t="shared" si="0"/>
        <v>49000</v>
      </c>
      <c r="G9" s="49">
        <f t="shared" si="1"/>
        <v>0.1573743644201105</v>
      </c>
      <c r="H9" s="48">
        <f t="shared" si="2"/>
        <v>-2000</v>
      </c>
      <c r="I9" s="65"/>
      <c r="J9" s="109" t="s">
        <v>244</v>
      </c>
      <c r="K9" s="109"/>
      <c r="L9" s="80">
        <v>-400</v>
      </c>
      <c r="M9" s="60"/>
      <c r="N9" s="60"/>
      <c r="O9" s="60"/>
    </row>
    <row r="10" spans="1:15" ht="11.25">
      <c r="A10" s="60"/>
      <c r="B10" s="46"/>
      <c r="C10" s="47"/>
      <c r="D10" s="48"/>
      <c r="E10" s="48"/>
      <c r="F10" s="48"/>
      <c r="G10" s="49"/>
      <c r="H10" s="48"/>
      <c r="I10" s="63"/>
      <c r="J10" s="109" t="s">
        <v>245</v>
      </c>
      <c r="K10" s="109"/>
      <c r="L10" s="80">
        <v>0</v>
      </c>
      <c r="M10" s="60"/>
      <c r="N10" s="60"/>
      <c r="O10" s="60"/>
    </row>
    <row r="11" spans="1:15" ht="11.25">
      <c r="A11" s="60"/>
      <c r="B11" s="111" t="s">
        <v>25</v>
      </c>
      <c r="C11" s="111"/>
      <c r="D11" s="111"/>
      <c r="E11" s="50"/>
      <c r="F11" s="50">
        <f>SUM($F4:$F10)</f>
        <v>236340</v>
      </c>
      <c r="G11" s="51">
        <f>SUM($G4:$G10)</f>
        <v>0.75905831198059</v>
      </c>
      <c r="H11" s="48">
        <f>SUM(H4:H10)</f>
        <v>-7160</v>
      </c>
      <c r="I11" s="65"/>
      <c r="J11" s="108" t="s">
        <v>253</v>
      </c>
      <c r="K11" s="108"/>
      <c r="L11" s="87">
        <f>$L3*$N3</f>
        <v>0</v>
      </c>
      <c r="M11" s="60"/>
      <c r="N11" s="58"/>
      <c r="O11" s="60"/>
    </row>
    <row r="12" spans="1:15" ht="11.25">
      <c r="A12" s="60"/>
      <c r="B12" s="104" t="s">
        <v>242</v>
      </c>
      <c r="C12" s="104"/>
      <c r="D12" s="48"/>
      <c r="E12" s="48"/>
      <c r="F12" s="48">
        <v>137776.91827687243</v>
      </c>
      <c r="G12" s="62"/>
      <c r="H12" s="62"/>
      <c r="I12" s="63"/>
      <c r="J12" s="109" t="s">
        <v>249</v>
      </c>
      <c r="K12" s="109"/>
      <c r="L12" s="80">
        <v>0</v>
      </c>
      <c r="M12" s="71"/>
      <c r="N12" s="60"/>
      <c r="O12" s="60"/>
    </row>
    <row r="13" spans="1:15" ht="11.25">
      <c r="A13" s="60"/>
      <c r="B13" s="52" t="s">
        <v>13</v>
      </c>
      <c r="C13" s="52"/>
      <c r="D13" s="48"/>
      <c r="E13" s="48"/>
      <c r="F13" s="48">
        <v>-62757.44</v>
      </c>
      <c r="G13" s="62"/>
      <c r="H13" s="62"/>
      <c r="I13" s="63"/>
      <c r="J13" s="108" t="s">
        <v>254</v>
      </c>
      <c r="K13" s="108"/>
      <c r="L13" s="87"/>
      <c r="M13" s="60"/>
      <c r="N13" s="94"/>
      <c r="O13" s="60"/>
    </row>
    <row r="14" spans="1:15" ht="11.25">
      <c r="A14" s="60"/>
      <c r="B14" s="104" t="s">
        <v>26</v>
      </c>
      <c r="C14" s="104"/>
      <c r="D14" s="48"/>
      <c r="E14" s="48"/>
      <c r="F14" s="48">
        <v>0</v>
      </c>
      <c r="G14" s="62"/>
      <c r="H14" s="62"/>
      <c r="I14" s="63"/>
      <c r="J14" s="109" t="s">
        <v>248</v>
      </c>
      <c r="K14" s="109"/>
      <c r="L14" s="80">
        <v>0</v>
      </c>
      <c r="M14" s="60"/>
      <c r="N14" s="60"/>
      <c r="O14" s="60"/>
    </row>
    <row r="15" spans="1:15" ht="11.25">
      <c r="A15" s="60"/>
      <c r="B15" s="52" t="s">
        <v>102</v>
      </c>
      <c r="C15" s="52"/>
      <c r="D15" s="48"/>
      <c r="E15" s="48"/>
      <c r="F15" s="48">
        <v>0</v>
      </c>
      <c r="G15" s="62"/>
      <c r="H15" s="62"/>
      <c r="I15" s="63"/>
      <c r="J15" s="110" t="s">
        <v>247</v>
      </c>
      <c r="K15" s="110"/>
      <c r="L15" s="86">
        <f>SUM(L8:L10,L12,L14)</f>
        <v>146.5050000000956</v>
      </c>
      <c r="M15" s="60"/>
      <c r="N15" s="60"/>
      <c r="O15" s="60"/>
    </row>
    <row r="16" spans="1:15" ht="11.25">
      <c r="A16" s="60"/>
      <c r="B16" s="104" t="s">
        <v>89</v>
      </c>
      <c r="C16" s="104"/>
      <c r="D16" s="48"/>
      <c r="E16" s="48"/>
      <c r="F16" s="48">
        <v>0</v>
      </c>
      <c r="G16" s="62"/>
      <c r="H16" s="62"/>
      <c r="I16" s="63"/>
      <c r="J16" s="55" t="s">
        <v>203</v>
      </c>
      <c r="K16" s="55"/>
      <c r="L16" s="50">
        <v>25487.900776872426</v>
      </c>
      <c r="M16" s="60"/>
      <c r="N16" s="60"/>
      <c r="O16" s="60"/>
    </row>
    <row r="17" spans="1:15" ht="11.25">
      <c r="A17" s="60"/>
      <c r="B17" s="105" t="s">
        <v>243</v>
      </c>
      <c r="C17" s="105"/>
      <c r="D17" s="105"/>
      <c r="E17" s="53"/>
      <c r="F17" s="50">
        <f>SUM($F12:$F16)</f>
        <v>75019.47827687243</v>
      </c>
      <c r="G17" s="51">
        <f>$F17/$F18</f>
        <v>0.24094168801940988</v>
      </c>
      <c r="H17" s="57">
        <f>H1+3</f>
        <v>38008</v>
      </c>
      <c r="I17" s="63"/>
      <c r="J17" s="98" t="s">
        <v>118</v>
      </c>
      <c r="K17" s="98"/>
      <c r="L17" s="99">
        <f>SUM($L15:$L16)</f>
        <v>25634.40577687252</v>
      </c>
      <c r="M17" s="60"/>
      <c r="N17" s="60"/>
      <c r="O17" s="60"/>
    </row>
    <row r="18" spans="1:15" ht="13.5">
      <c r="A18" s="60"/>
      <c r="B18" s="107" t="s">
        <v>15</v>
      </c>
      <c r="C18" s="107"/>
      <c r="D18" s="107"/>
      <c r="E18" s="54"/>
      <c r="F18" s="74">
        <f>SUM($F11,$F17)</f>
        <v>311359.4782768724</v>
      </c>
      <c r="G18" s="56">
        <f>SUM($G11,$G17)</f>
        <v>0.9999999999999999</v>
      </c>
      <c r="H18" s="66"/>
      <c r="I18" s="63"/>
      <c r="J18" s="106" t="s">
        <v>117</v>
      </c>
      <c r="K18" s="106"/>
      <c r="L18" s="85">
        <f>$F18+$L15+$L11+$L13</f>
        <v>311505.98327687255</v>
      </c>
      <c r="M18" s="60"/>
      <c r="N18" s="60"/>
      <c r="O18" s="60"/>
    </row>
    <row r="19" spans="1:15" ht="11.25">
      <c r="A19" s="60"/>
      <c r="B19" s="60"/>
      <c r="C19" s="60"/>
      <c r="D19" s="60"/>
      <c r="E19" s="60"/>
      <c r="F19" s="60"/>
      <c r="G19" s="66"/>
      <c r="H19" s="67"/>
      <c r="I19" s="63"/>
      <c r="J19" s="60"/>
      <c r="K19" s="60"/>
      <c r="L19" s="60"/>
      <c r="M19" s="60"/>
      <c r="N19" s="60"/>
      <c r="O19" s="60"/>
    </row>
    <row r="20" spans="1:15" ht="15.75">
      <c r="A20" s="60"/>
      <c r="B20" s="75"/>
      <c r="C20" s="75"/>
      <c r="D20" s="75"/>
      <c r="E20" s="76"/>
      <c r="F20" s="63"/>
      <c r="G20" s="77" t="s">
        <v>258</v>
      </c>
      <c r="H20" s="112">
        <v>38006</v>
      </c>
      <c r="I20" s="112"/>
      <c r="J20" s="112"/>
      <c r="K20" s="60"/>
      <c r="L20" s="60"/>
      <c r="M20" s="60"/>
      <c r="N20" s="60"/>
      <c r="O20" s="60"/>
    </row>
    <row r="21" spans="1:15" ht="11.25">
      <c r="A21" s="61"/>
      <c r="B21" s="113" t="s">
        <v>250</v>
      </c>
      <c r="C21" s="113"/>
      <c r="D21" s="113"/>
      <c r="E21" s="113"/>
      <c r="F21" s="113"/>
      <c r="G21" s="113"/>
      <c r="H21" s="113"/>
      <c r="I21" s="64"/>
      <c r="J21" s="68" t="s">
        <v>252</v>
      </c>
      <c r="K21" s="68"/>
      <c r="L21" s="47">
        <v>16967.852443668453</v>
      </c>
      <c r="M21" s="72"/>
      <c r="N21" s="73"/>
      <c r="O21" s="61"/>
    </row>
    <row r="22" spans="1:15" ht="11.25">
      <c r="A22" s="60"/>
      <c r="B22" s="45" t="s">
        <v>2</v>
      </c>
      <c r="C22" s="45" t="s">
        <v>4</v>
      </c>
      <c r="D22" s="45" t="s">
        <v>9</v>
      </c>
      <c r="E22" s="45" t="s">
        <v>10</v>
      </c>
      <c r="F22" s="45" t="s">
        <v>11</v>
      </c>
      <c r="G22" s="45" t="s">
        <v>12</v>
      </c>
      <c r="H22" s="45" t="s">
        <v>240</v>
      </c>
      <c r="I22" s="63"/>
      <c r="J22" s="68" t="s">
        <v>255</v>
      </c>
      <c r="K22" s="68"/>
      <c r="L22" s="81">
        <v>0</v>
      </c>
      <c r="M22" s="59" t="s">
        <v>251</v>
      </c>
      <c r="N22" s="83">
        <v>0</v>
      </c>
      <c r="O22" s="60"/>
    </row>
    <row r="23" spans="1:15" ht="11.25">
      <c r="A23" s="60"/>
      <c r="B23" s="46" t="s">
        <v>208</v>
      </c>
      <c r="C23" s="47">
        <v>300</v>
      </c>
      <c r="D23" s="48">
        <v>28.5</v>
      </c>
      <c r="E23" s="48">
        <v>26</v>
      </c>
      <c r="F23" s="48">
        <f aca="true" t="shared" si="3" ref="F23:F29">$C23*$E23</f>
        <v>7800</v>
      </c>
      <c r="G23" s="49">
        <f aca="true" t="shared" si="4" ref="G23:G29">$F23/F$18</f>
        <v>0.025051429438303303</v>
      </c>
      <c r="H23" s="48">
        <f aca="true" t="shared" si="5" ref="H23:H29">$F23-($C23*$D23)</f>
        <v>-750</v>
      </c>
      <c r="I23" s="65"/>
      <c r="J23" s="68" t="s">
        <v>256</v>
      </c>
      <c r="K23" s="68"/>
      <c r="L23" s="81">
        <v>0</v>
      </c>
      <c r="M23" s="59" t="s">
        <v>251</v>
      </c>
      <c r="N23" s="97">
        <v>0</v>
      </c>
      <c r="O23" s="60"/>
    </row>
    <row r="24" spans="1:15" ht="11.25">
      <c r="A24" s="60"/>
      <c r="B24" s="46" t="s">
        <v>318</v>
      </c>
      <c r="C24" s="47">
        <v>400</v>
      </c>
      <c r="D24" s="48">
        <v>103.3</v>
      </c>
      <c r="E24" s="48">
        <v>104</v>
      </c>
      <c r="F24" s="48">
        <f t="shared" si="3"/>
        <v>41600</v>
      </c>
      <c r="G24" s="49">
        <f t="shared" si="4"/>
        <v>0.13360762367095094</v>
      </c>
      <c r="H24" s="48">
        <f t="shared" si="5"/>
        <v>280</v>
      </c>
      <c r="I24" s="63"/>
      <c r="J24" s="78" t="s">
        <v>275</v>
      </c>
      <c r="K24" s="79"/>
      <c r="L24" s="82">
        <f>$L21-$L22+$L23</f>
        <v>16967.852443668453</v>
      </c>
      <c r="M24" s="60"/>
      <c r="N24" s="60"/>
      <c r="O24" s="60"/>
    </row>
    <row r="25" spans="1:15" ht="11.25">
      <c r="A25" s="60"/>
      <c r="B25" s="46" t="s">
        <v>23</v>
      </c>
      <c r="C25" s="47">
        <v>2000</v>
      </c>
      <c r="D25" s="48">
        <v>11.82</v>
      </c>
      <c r="E25" s="48">
        <v>11.3</v>
      </c>
      <c r="F25" s="48">
        <f t="shared" si="3"/>
        <v>22600</v>
      </c>
      <c r="G25" s="49">
        <f t="shared" si="4"/>
        <v>0.0725849109366224</v>
      </c>
      <c r="H25" s="48">
        <f t="shared" si="5"/>
        <v>-1040</v>
      </c>
      <c r="I25" s="65"/>
      <c r="J25" s="114" t="s">
        <v>24</v>
      </c>
      <c r="K25" s="114"/>
      <c r="L25" s="84">
        <f>$F37/$L24</f>
        <v>18.277402476622587</v>
      </c>
      <c r="M25" s="60"/>
      <c r="N25" s="60"/>
      <c r="O25" s="60"/>
    </row>
    <row r="26" spans="1:15" ht="11.25">
      <c r="A26" s="60"/>
      <c r="B26" s="46" t="s">
        <v>205</v>
      </c>
      <c r="C26" s="47">
        <v>1000</v>
      </c>
      <c r="D26" s="48">
        <v>43.75</v>
      </c>
      <c r="E26" s="48">
        <v>41.5</v>
      </c>
      <c r="F26" s="48">
        <f t="shared" si="3"/>
        <v>41500</v>
      </c>
      <c r="G26" s="49">
        <f t="shared" si="4"/>
        <v>0.13328645149866503</v>
      </c>
      <c r="H26" s="48">
        <f t="shared" si="5"/>
        <v>-2250</v>
      </c>
      <c r="I26" s="63"/>
      <c r="J26" s="115" t="s">
        <v>241</v>
      </c>
      <c r="K26" s="115"/>
      <c r="L26" s="115"/>
      <c r="M26" s="60"/>
      <c r="N26" s="60"/>
      <c r="O26" s="60"/>
    </row>
    <row r="27" spans="1:15" ht="11.25">
      <c r="A27" s="60"/>
      <c r="B27" s="46" t="s">
        <v>200</v>
      </c>
      <c r="C27" s="47">
        <v>18000</v>
      </c>
      <c r="D27" s="48">
        <v>4.18</v>
      </c>
      <c r="E27" s="48">
        <v>4.06</v>
      </c>
      <c r="F27" s="48">
        <f t="shared" si="3"/>
        <v>73080</v>
      </c>
      <c r="G27" s="49">
        <f t="shared" si="4"/>
        <v>0.2347126235065648</v>
      </c>
      <c r="H27" s="48">
        <f t="shared" si="5"/>
        <v>-2160</v>
      </c>
      <c r="I27" s="63"/>
      <c r="J27" s="69" t="s">
        <v>246</v>
      </c>
      <c r="K27" s="70"/>
      <c r="L27" s="100">
        <v>146.5050000000956</v>
      </c>
      <c r="M27" s="60"/>
      <c r="N27" s="60"/>
      <c r="O27" s="60"/>
    </row>
    <row r="28" spans="1:15" ht="11.25">
      <c r="A28" s="60"/>
      <c r="B28" s="46" t="s">
        <v>334</v>
      </c>
      <c r="C28" s="47">
        <v>2500</v>
      </c>
      <c r="D28" s="48">
        <v>20.4</v>
      </c>
      <c r="E28" s="48">
        <v>19.4</v>
      </c>
      <c r="F28" s="48">
        <f t="shared" si="3"/>
        <v>48500</v>
      </c>
      <c r="G28" s="49">
        <f t="shared" si="4"/>
        <v>0.1557685035586808</v>
      </c>
      <c r="H28" s="48">
        <f t="shared" si="5"/>
        <v>-2500</v>
      </c>
      <c r="I28" s="65"/>
      <c r="J28" s="109" t="s">
        <v>244</v>
      </c>
      <c r="K28" s="109"/>
      <c r="L28" s="80">
        <v>-500</v>
      </c>
      <c r="M28" s="60"/>
      <c r="N28" s="60"/>
      <c r="O28" s="60"/>
    </row>
    <row r="29" spans="1:15" ht="11.25">
      <c r="A29" s="60"/>
      <c r="B29" s="46" t="s">
        <v>336</v>
      </c>
      <c r="C29" s="47">
        <v>2000</v>
      </c>
      <c r="D29" s="48">
        <v>12.4</v>
      </c>
      <c r="E29" s="48">
        <v>12.3</v>
      </c>
      <c r="F29" s="48">
        <f t="shared" si="3"/>
        <v>24600</v>
      </c>
      <c r="G29" s="49">
        <f t="shared" si="4"/>
        <v>0.07900835438234119</v>
      </c>
      <c r="H29" s="48">
        <f t="shared" si="5"/>
        <v>-200</v>
      </c>
      <c r="I29" s="63"/>
      <c r="J29" s="109" t="s">
        <v>245</v>
      </c>
      <c r="K29" s="109"/>
      <c r="L29" s="80">
        <v>0</v>
      </c>
      <c r="M29" s="60"/>
      <c r="N29" s="60"/>
      <c r="O29" s="60"/>
    </row>
    <row r="30" spans="1:15" ht="11.25">
      <c r="A30" s="60"/>
      <c r="B30" s="111" t="s">
        <v>25</v>
      </c>
      <c r="C30" s="111"/>
      <c r="D30" s="111"/>
      <c r="E30" s="50"/>
      <c r="F30" s="50">
        <f>SUM($F23:$F29)</f>
        <v>259680</v>
      </c>
      <c r="G30" s="51">
        <f>SUM($G23:$G29)</f>
        <v>0.8340198969921285</v>
      </c>
      <c r="H30" s="48">
        <f>SUM(H23:H29)</f>
        <v>-8620</v>
      </c>
      <c r="I30" s="65"/>
      <c r="J30" s="108" t="s">
        <v>253</v>
      </c>
      <c r="K30" s="108"/>
      <c r="L30" s="87">
        <f>$L22*$N22</f>
        <v>0</v>
      </c>
      <c r="M30" s="60"/>
      <c r="N30" s="58"/>
      <c r="O30" s="60"/>
    </row>
    <row r="31" spans="1:15" ht="11.25">
      <c r="A31" s="60"/>
      <c r="B31" s="104" t="s">
        <v>242</v>
      </c>
      <c r="C31" s="104"/>
      <c r="D31" s="48"/>
      <c r="E31" s="48"/>
      <c r="F31" s="48">
        <v>75019.47827687243</v>
      </c>
      <c r="G31" s="62"/>
      <c r="H31" s="62"/>
      <c r="I31" s="63"/>
      <c r="J31" s="109" t="s">
        <v>249</v>
      </c>
      <c r="K31" s="109"/>
      <c r="L31" s="80">
        <v>0</v>
      </c>
      <c r="M31" s="71"/>
      <c r="N31" s="60"/>
      <c r="O31" s="60"/>
    </row>
    <row r="32" spans="1:15" ht="11.25">
      <c r="A32" s="60"/>
      <c r="B32" s="52" t="s">
        <v>13</v>
      </c>
      <c r="C32" s="52"/>
      <c r="D32" s="48"/>
      <c r="E32" s="48"/>
      <c r="F32" s="48">
        <v>-24571.21</v>
      </c>
      <c r="G32" s="62"/>
      <c r="H32" s="62"/>
      <c r="I32" s="63"/>
      <c r="J32" s="108" t="s">
        <v>254</v>
      </c>
      <c r="K32" s="108"/>
      <c r="L32" s="87"/>
      <c r="M32" s="60"/>
      <c r="N32" s="94"/>
      <c r="O32" s="60"/>
    </row>
    <row r="33" spans="1:15" ht="11.25">
      <c r="A33" s="60"/>
      <c r="B33" s="104" t="s">
        <v>26</v>
      </c>
      <c r="C33" s="104"/>
      <c r="D33" s="48"/>
      <c r="E33" s="48"/>
      <c r="F33" s="48">
        <v>0</v>
      </c>
      <c r="G33" s="62"/>
      <c r="H33" s="62"/>
      <c r="I33" s="63"/>
      <c r="J33" s="109" t="s">
        <v>248</v>
      </c>
      <c r="K33" s="109"/>
      <c r="L33" s="80">
        <v>0</v>
      </c>
      <c r="M33" s="60"/>
      <c r="N33" s="60"/>
      <c r="O33" s="60"/>
    </row>
    <row r="34" spans="1:15" ht="11.25">
      <c r="A34" s="60"/>
      <c r="B34" s="52" t="s">
        <v>102</v>
      </c>
      <c r="C34" s="52"/>
      <c r="D34" s="48"/>
      <c r="E34" s="48"/>
      <c r="F34" s="48">
        <v>0</v>
      </c>
      <c r="G34" s="62"/>
      <c r="H34" s="62"/>
      <c r="I34" s="63"/>
      <c r="J34" s="110" t="s">
        <v>247</v>
      </c>
      <c r="K34" s="110"/>
      <c r="L34" s="86">
        <f>SUM(L27:L29,L31,L33)</f>
        <v>-353.4949999999044</v>
      </c>
      <c r="M34" s="60"/>
      <c r="N34" s="60"/>
      <c r="O34" s="60"/>
    </row>
    <row r="35" spans="1:15" ht="11.25">
      <c r="A35" s="60"/>
      <c r="B35" s="104" t="s">
        <v>89</v>
      </c>
      <c r="C35" s="104"/>
      <c r="D35" s="48"/>
      <c r="E35" s="48"/>
      <c r="F35" s="48">
        <v>0</v>
      </c>
      <c r="G35" s="62"/>
      <c r="H35" s="62"/>
      <c r="I35" s="63"/>
      <c r="J35" s="55" t="s">
        <v>203</v>
      </c>
      <c r="K35" s="55"/>
      <c r="L35" s="50">
        <v>164215.80827687244</v>
      </c>
      <c r="M35" s="60"/>
      <c r="N35" s="60"/>
      <c r="O35" s="60"/>
    </row>
    <row r="36" spans="1:15" ht="11.25">
      <c r="A36" s="60"/>
      <c r="B36" s="105" t="s">
        <v>243</v>
      </c>
      <c r="C36" s="105"/>
      <c r="D36" s="105"/>
      <c r="E36" s="53"/>
      <c r="F36" s="50">
        <f>SUM($F31:$F35)</f>
        <v>50448.268276872426</v>
      </c>
      <c r="G36" s="51">
        <f>$F36/$F37</f>
        <v>0.16266904193278459</v>
      </c>
      <c r="H36" s="57">
        <f>H20+3</f>
        <v>38009</v>
      </c>
      <c r="I36" s="63"/>
      <c r="J36" s="98" t="s">
        <v>118</v>
      </c>
      <c r="K36" s="98"/>
      <c r="L36" s="99">
        <f>SUM($L34:$L35)</f>
        <v>163862.31327687253</v>
      </c>
      <c r="M36" s="60"/>
      <c r="N36" s="60"/>
      <c r="O36" s="60"/>
    </row>
    <row r="37" spans="1:15" ht="13.5">
      <c r="A37" s="60"/>
      <c r="B37" s="107" t="s">
        <v>15</v>
      </c>
      <c r="C37" s="107"/>
      <c r="D37" s="107"/>
      <c r="E37" s="54"/>
      <c r="F37" s="74">
        <f>SUM($F30,$F36)</f>
        <v>310128.2682768724</v>
      </c>
      <c r="G37" s="56">
        <f>SUM($G30,$G36)</f>
        <v>0.9966889389249132</v>
      </c>
      <c r="H37" s="66"/>
      <c r="I37" s="63"/>
      <c r="J37" s="106" t="s">
        <v>117</v>
      </c>
      <c r="K37" s="106"/>
      <c r="L37" s="85">
        <f>$F37+$L34+$L30+$L32</f>
        <v>309774.7732768725</v>
      </c>
      <c r="M37" s="60"/>
      <c r="N37" s="60"/>
      <c r="O37" s="60"/>
    </row>
    <row r="38" spans="1:15" ht="11.25">
      <c r="A38" s="60"/>
      <c r="B38" s="60"/>
      <c r="C38" s="60"/>
      <c r="D38" s="60"/>
      <c r="E38" s="60"/>
      <c r="F38" s="60"/>
      <c r="G38" s="66"/>
      <c r="H38" s="67"/>
      <c r="I38" s="63"/>
      <c r="J38" s="60"/>
      <c r="K38" s="60"/>
      <c r="L38" s="60"/>
      <c r="M38" s="60"/>
      <c r="N38" s="60"/>
      <c r="O38" s="60"/>
    </row>
    <row r="39" spans="1:15" ht="15.75">
      <c r="A39" s="60"/>
      <c r="B39" s="75"/>
      <c r="C39" s="75"/>
      <c r="D39" s="75"/>
      <c r="E39" s="76"/>
      <c r="F39" s="63"/>
      <c r="G39" s="77" t="s">
        <v>233</v>
      </c>
      <c r="H39" s="112">
        <v>38007</v>
      </c>
      <c r="I39" s="112"/>
      <c r="J39" s="112"/>
      <c r="K39" s="60"/>
      <c r="L39" s="60"/>
      <c r="M39" s="60"/>
      <c r="N39" s="60"/>
      <c r="O39" s="60"/>
    </row>
    <row r="40" spans="1:15" ht="11.25">
      <c r="A40" s="61"/>
      <c r="B40" s="113" t="s">
        <v>250</v>
      </c>
      <c r="C40" s="113"/>
      <c r="D40" s="113"/>
      <c r="E40" s="113"/>
      <c r="F40" s="113"/>
      <c r="G40" s="113"/>
      <c r="H40" s="113"/>
      <c r="I40" s="64"/>
      <c r="J40" s="68" t="s">
        <v>252</v>
      </c>
      <c r="K40" s="68"/>
      <c r="L40" s="47">
        <v>16967.852443668453</v>
      </c>
      <c r="M40" s="72"/>
      <c r="N40" s="73"/>
      <c r="O40" s="61"/>
    </row>
    <row r="41" spans="1:15" ht="11.25">
      <c r="A41" s="60"/>
      <c r="B41" s="45" t="s">
        <v>2</v>
      </c>
      <c r="C41" s="45" t="s">
        <v>4</v>
      </c>
      <c r="D41" s="45" t="s">
        <v>9</v>
      </c>
      <c r="E41" s="45" t="s">
        <v>10</v>
      </c>
      <c r="F41" s="45" t="s">
        <v>11</v>
      </c>
      <c r="G41" s="45" t="s">
        <v>12</v>
      </c>
      <c r="H41" s="45" t="s">
        <v>240</v>
      </c>
      <c r="I41" s="63"/>
      <c r="J41" s="68" t="s">
        <v>255</v>
      </c>
      <c r="K41" s="68"/>
      <c r="L41" s="81">
        <v>0</v>
      </c>
      <c r="M41" s="59" t="s">
        <v>251</v>
      </c>
      <c r="N41" s="83">
        <v>0</v>
      </c>
      <c r="O41" s="60"/>
    </row>
    <row r="42" spans="1:15" ht="11.25">
      <c r="A42" s="60"/>
      <c r="B42" s="46" t="s">
        <v>208</v>
      </c>
      <c r="C42" s="47">
        <v>300</v>
      </c>
      <c r="D42" s="48">
        <v>28.5</v>
      </c>
      <c r="E42" s="48">
        <v>26</v>
      </c>
      <c r="F42" s="48">
        <f>$C42*$E42</f>
        <v>7800</v>
      </c>
      <c r="G42" s="49">
        <f>$F42/F$18</f>
        <v>0.025051429438303303</v>
      </c>
      <c r="H42" s="48">
        <f>$F42-($C42*$D42)</f>
        <v>-750</v>
      </c>
      <c r="I42" s="65"/>
      <c r="J42" s="68" t="s">
        <v>256</v>
      </c>
      <c r="K42" s="68"/>
      <c r="L42" s="81">
        <v>0</v>
      </c>
      <c r="M42" s="59" t="s">
        <v>251</v>
      </c>
      <c r="N42" s="97">
        <v>0</v>
      </c>
      <c r="O42" s="60"/>
    </row>
    <row r="43" spans="1:15" ht="11.25">
      <c r="A43" s="60"/>
      <c r="B43" s="46" t="s">
        <v>318</v>
      </c>
      <c r="C43" s="47">
        <v>400</v>
      </c>
      <c r="D43" s="48">
        <v>103.3</v>
      </c>
      <c r="E43" s="48">
        <v>104</v>
      </c>
      <c r="F43" s="48">
        <f>$C43*$E43</f>
        <v>41600</v>
      </c>
      <c r="G43" s="49">
        <f>$F43/F$18</f>
        <v>0.13360762367095094</v>
      </c>
      <c r="H43" s="48">
        <f>$F43-($C43*$D43)</f>
        <v>280</v>
      </c>
      <c r="I43" s="63"/>
      <c r="J43" s="78" t="s">
        <v>275</v>
      </c>
      <c r="K43" s="79"/>
      <c r="L43" s="82">
        <f>$L40-$L41+$L42</f>
        <v>16967.852443668453</v>
      </c>
      <c r="M43" s="60"/>
      <c r="N43" s="60"/>
      <c r="O43" s="60"/>
    </row>
    <row r="44" spans="1:15" ht="11.25">
      <c r="A44" s="60"/>
      <c r="B44" s="46" t="s">
        <v>23</v>
      </c>
      <c r="C44" s="47">
        <v>2000</v>
      </c>
      <c r="D44" s="48">
        <v>11.82</v>
      </c>
      <c r="E44" s="48">
        <v>11.2</v>
      </c>
      <c r="F44" s="48">
        <f>$C44*$E44</f>
        <v>22400</v>
      </c>
      <c r="G44" s="49">
        <f>$F44/F$18</f>
        <v>0.07194256659205052</v>
      </c>
      <c r="H44" s="48">
        <f>$F44-($C44*$D44)</f>
        <v>-1240</v>
      </c>
      <c r="I44" s="65"/>
      <c r="J44" s="114" t="s">
        <v>24</v>
      </c>
      <c r="K44" s="114"/>
      <c r="L44" s="84">
        <f>$F56/$L43</f>
        <v>18.13666221453414</v>
      </c>
      <c r="M44" s="60"/>
      <c r="N44" s="60"/>
      <c r="O44" s="60"/>
    </row>
    <row r="45" spans="1:15" ht="11.25">
      <c r="A45" s="60"/>
      <c r="B45" s="46" t="s">
        <v>200</v>
      </c>
      <c r="C45" s="47">
        <v>18000</v>
      </c>
      <c r="D45" s="48">
        <v>4.18</v>
      </c>
      <c r="E45" s="48">
        <v>4.04</v>
      </c>
      <c r="F45" s="48">
        <f>$C45*$E45</f>
        <v>72720</v>
      </c>
      <c r="G45" s="49">
        <f>$F45/F$18</f>
        <v>0.23355640368633543</v>
      </c>
      <c r="H45" s="48">
        <f>$F45-($C45*$D45)</f>
        <v>-2520</v>
      </c>
      <c r="I45" s="63"/>
      <c r="J45" s="115" t="s">
        <v>241</v>
      </c>
      <c r="K45" s="115"/>
      <c r="L45" s="115"/>
      <c r="M45" s="60"/>
      <c r="N45" s="60"/>
      <c r="O45" s="60"/>
    </row>
    <row r="46" spans="1:15" ht="11.25">
      <c r="A46" s="60"/>
      <c r="B46" s="46" t="s">
        <v>334</v>
      </c>
      <c r="C46" s="47">
        <v>3500</v>
      </c>
      <c r="D46" s="48">
        <v>19.6</v>
      </c>
      <c r="E46" s="48">
        <v>18.5</v>
      </c>
      <c r="F46" s="48">
        <f>$C46*$E46</f>
        <v>64750</v>
      </c>
      <c r="G46" s="49">
        <f>$F46/F$18</f>
        <v>0.20795898155514603</v>
      </c>
      <c r="H46" s="48">
        <f>$F46-($C46*$D46)</f>
        <v>-3850</v>
      </c>
      <c r="I46" s="63"/>
      <c r="J46" s="69" t="s">
        <v>246</v>
      </c>
      <c r="K46" s="70"/>
      <c r="L46" s="100">
        <v>-353.4949999999044</v>
      </c>
      <c r="M46" s="60"/>
      <c r="N46" s="60"/>
      <c r="O46" s="60"/>
    </row>
    <row r="47" spans="1:15" ht="11.25">
      <c r="A47" s="60"/>
      <c r="B47" s="46"/>
      <c r="C47" s="47"/>
      <c r="D47" s="48"/>
      <c r="E47" s="48"/>
      <c r="F47" s="48"/>
      <c r="G47" s="49"/>
      <c r="H47" s="48"/>
      <c r="I47" s="65"/>
      <c r="J47" s="109" t="s">
        <v>244</v>
      </c>
      <c r="K47" s="109"/>
      <c r="L47" s="80">
        <v>0</v>
      </c>
      <c r="M47" s="60"/>
      <c r="N47" s="60"/>
      <c r="O47" s="60"/>
    </row>
    <row r="48" spans="1:15" ht="11.25">
      <c r="A48" s="60"/>
      <c r="B48" s="46"/>
      <c r="C48" s="47"/>
      <c r="D48" s="48"/>
      <c r="E48" s="48"/>
      <c r="F48" s="48"/>
      <c r="G48" s="49"/>
      <c r="H48" s="48"/>
      <c r="I48" s="63"/>
      <c r="J48" s="109" t="s">
        <v>245</v>
      </c>
      <c r="K48" s="109"/>
      <c r="L48" s="80">
        <v>0</v>
      </c>
      <c r="M48" s="60"/>
      <c r="N48" s="60"/>
      <c r="O48" s="60"/>
    </row>
    <row r="49" spans="1:15" ht="11.25">
      <c r="A49" s="60"/>
      <c r="B49" s="111" t="s">
        <v>25</v>
      </c>
      <c r="C49" s="111"/>
      <c r="D49" s="111"/>
      <c r="E49" s="50"/>
      <c r="F49" s="50">
        <f>SUM($F42:$F48)</f>
        <v>209270</v>
      </c>
      <c r="G49" s="51">
        <f>SUM($G42:$G48)</f>
        <v>0.6721170049427863</v>
      </c>
      <c r="H49" s="48">
        <f>SUM(H42:H48)</f>
        <v>-8080</v>
      </c>
      <c r="I49" s="65"/>
      <c r="J49" s="108" t="s">
        <v>253</v>
      </c>
      <c r="K49" s="108"/>
      <c r="L49" s="87">
        <f>$L41*$N41</f>
        <v>0</v>
      </c>
      <c r="M49" s="60"/>
      <c r="N49" s="58"/>
      <c r="O49" s="60"/>
    </row>
    <row r="50" spans="1:15" ht="11.25">
      <c r="A50" s="60"/>
      <c r="B50" s="104" t="s">
        <v>242</v>
      </c>
      <c r="C50" s="104"/>
      <c r="D50" s="48"/>
      <c r="E50" s="48"/>
      <c r="F50" s="48">
        <v>50448.268276872426</v>
      </c>
      <c r="G50" s="62"/>
      <c r="H50" s="62"/>
      <c r="I50" s="63"/>
      <c r="J50" s="109" t="s">
        <v>249</v>
      </c>
      <c r="K50" s="109"/>
      <c r="L50" s="80">
        <v>0</v>
      </c>
      <c r="M50" s="71"/>
      <c r="N50" s="60"/>
      <c r="O50" s="60"/>
    </row>
    <row r="51" spans="1:15" ht="11.25">
      <c r="A51" s="60"/>
      <c r="B51" s="52" t="s">
        <v>13</v>
      </c>
      <c r="C51" s="52"/>
      <c r="D51" s="48"/>
      <c r="E51" s="48"/>
      <c r="F51" s="48">
        <v>0</v>
      </c>
      <c r="G51" s="62"/>
      <c r="H51" s="62"/>
      <c r="I51" s="63"/>
      <c r="J51" s="108" t="s">
        <v>254</v>
      </c>
      <c r="K51" s="108"/>
      <c r="L51" s="87"/>
      <c r="M51" s="60"/>
      <c r="N51" s="94"/>
      <c r="O51" s="60"/>
    </row>
    <row r="52" spans="1:15" ht="11.25">
      <c r="A52" s="60"/>
      <c r="B52" s="104" t="s">
        <v>26</v>
      </c>
      <c r="C52" s="104"/>
      <c r="D52" s="48"/>
      <c r="E52" s="48"/>
      <c r="F52" s="48">
        <v>48021.94</v>
      </c>
      <c r="G52" s="62"/>
      <c r="H52" s="62"/>
      <c r="I52" s="63"/>
      <c r="J52" s="109" t="s">
        <v>248</v>
      </c>
      <c r="K52" s="109"/>
      <c r="L52" s="80">
        <v>0</v>
      </c>
      <c r="M52" s="60"/>
      <c r="N52" s="60"/>
      <c r="O52" s="60"/>
    </row>
    <row r="53" spans="1:15" ht="11.25">
      <c r="A53" s="60"/>
      <c r="B53" s="52" t="s">
        <v>102</v>
      </c>
      <c r="C53" s="52"/>
      <c r="D53" s="48"/>
      <c r="E53" s="48"/>
      <c r="F53" s="48">
        <v>0</v>
      </c>
      <c r="G53" s="62"/>
      <c r="H53" s="62"/>
      <c r="I53" s="63"/>
      <c r="J53" s="110" t="s">
        <v>247</v>
      </c>
      <c r="K53" s="110"/>
      <c r="L53" s="86">
        <f>SUM(L46:L48,L50,L52)</f>
        <v>-353.4949999999044</v>
      </c>
      <c r="M53" s="60"/>
      <c r="N53" s="60"/>
      <c r="O53" s="60"/>
    </row>
    <row r="54" spans="1:15" ht="11.25">
      <c r="A54" s="60"/>
      <c r="B54" s="104" t="s">
        <v>89</v>
      </c>
      <c r="C54" s="104"/>
      <c r="D54" s="48"/>
      <c r="E54" s="48"/>
      <c r="F54" s="48">
        <v>0</v>
      </c>
      <c r="G54" s="62"/>
      <c r="H54" s="62"/>
      <c r="I54" s="63"/>
      <c r="J54" s="55" t="s">
        <v>203</v>
      </c>
      <c r="K54" s="55"/>
      <c r="L54" s="50">
        <v>137776.91827687243</v>
      </c>
      <c r="M54" s="60"/>
      <c r="N54" s="60"/>
      <c r="O54" s="60"/>
    </row>
    <row r="55" spans="1:15" ht="11.25">
      <c r="A55" s="60"/>
      <c r="B55" s="105" t="s">
        <v>243</v>
      </c>
      <c r="C55" s="105"/>
      <c r="D55" s="105"/>
      <c r="E55" s="53"/>
      <c r="F55" s="50">
        <f>SUM($F50:$F54)</f>
        <v>98470.20827687244</v>
      </c>
      <c r="G55" s="51">
        <f>$F55/$F56</f>
        <v>0.3199783636601664</v>
      </c>
      <c r="H55" s="57">
        <f>H39+5</f>
        <v>38012</v>
      </c>
      <c r="I55" s="63"/>
      <c r="J55" s="98" t="s">
        <v>118</v>
      </c>
      <c r="K55" s="98"/>
      <c r="L55" s="99">
        <f>SUM($L53:$L54)</f>
        <v>137423.42327687252</v>
      </c>
      <c r="M55" s="60"/>
      <c r="N55" s="60"/>
      <c r="O55" s="60"/>
    </row>
    <row r="56" spans="1:15" ht="13.5">
      <c r="A56" s="60"/>
      <c r="B56" s="107" t="s">
        <v>15</v>
      </c>
      <c r="C56" s="107"/>
      <c r="D56" s="107"/>
      <c r="E56" s="54"/>
      <c r="F56" s="74">
        <f>SUM($F49,$F55)</f>
        <v>307740.2082768724</v>
      </c>
      <c r="G56" s="56">
        <f>SUM($G49,$G55)</f>
        <v>0.9920953686029527</v>
      </c>
      <c r="H56" s="66"/>
      <c r="I56" s="63"/>
      <c r="J56" s="106" t="s">
        <v>117</v>
      </c>
      <c r="K56" s="106"/>
      <c r="L56" s="85">
        <f>$F56+$L53+$L49+$L51</f>
        <v>307386.7132768725</v>
      </c>
      <c r="M56" s="60"/>
      <c r="N56" s="60"/>
      <c r="O56" s="60"/>
    </row>
    <row r="57" spans="1:15" ht="11.25">
      <c r="A57" s="60"/>
      <c r="B57" s="60"/>
      <c r="C57" s="60"/>
      <c r="D57" s="60"/>
      <c r="E57" s="60"/>
      <c r="F57" s="60"/>
      <c r="G57" s="66"/>
      <c r="H57" s="67"/>
      <c r="I57" s="63"/>
      <c r="J57" s="60"/>
      <c r="K57" s="60"/>
      <c r="L57" s="60"/>
      <c r="M57" s="60"/>
      <c r="N57" s="60"/>
      <c r="O57" s="60"/>
    </row>
    <row r="58" spans="1:15" ht="15.75">
      <c r="A58" s="60"/>
      <c r="B58" s="75"/>
      <c r="C58" s="75"/>
      <c r="D58" s="75"/>
      <c r="E58" s="76"/>
      <c r="F58" s="63"/>
      <c r="G58" s="77" t="s">
        <v>235</v>
      </c>
      <c r="H58" s="112">
        <v>38008</v>
      </c>
      <c r="I58" s="112"/>
      <c r="J58" s="112"/>
      <c r="K58" s="60"/>
      <c r="L58" s="60"/>
      <c r="M58" s="60"/>
      <c r="N58" s="60"/>
      <c r="O58" s="60"/>
    </row>
    <row r="59" spans="1:15" ht="11.25">
      <c r="A59" s="61"/>
      <c r="B59" s="113" t="s">
        <v>250</v>
      </c>
      <c r="C59" s="113"/>
      <c r="D59" s="113"/>
      <c r="E59" s="113"/>
      <c r="F59" s="113"/>
      <c r="G59" s="113"/>
      <c r="H59" s="113"/>
      <c r="I59" s="64"/>
      <c r="J59" s="68" t="s">
        <v>252</v>
      </c>
      <c r="K59" s="68"/>
      <c r="L59" s="47">
        <v>16967.852443668453</v>
      </c>
      <c r="M59" s="72"/>
      <c r="N59" s="73"/>
      <c r="O59" s="61"/>
    </row>
    <row r="60" spans="1:15" ht="11.25">
      <c r="A60" s="60"/>
      <c r="B60" s="45" t="s">
        <v>2</v>
      </c>
      <c r="C60" s="45" t="s">
        <v>4</v>
      </c>
      <c r="D60" s="45" t="s">
        <v>9</v>
      </c>
      <c r="E60" s="45" t="s">
        <v>10</v>
      </c>
      <c r="F60" s="45" t="s">
        <v>11</v>
      </c>
      <c r="G60" s="45" t="s">
        <v>12</v>
      </c>
      <c r="H60" s="45" t="s">
        <v>240</v>
      </c>
      <c r="I60" s="63"/>
      <c r="J60" s="68" t="s">
        <v>255</v>
      </c>
      <c r="K60" s="68"/>
      <c r="L60" s="81">
        <v>0</v>
      </c>
      <c r="M60" s="59" t="s">
        <v>251</v>
      </c>
      <c r="N60" s="83">
        <v>0</v>
      </c>
      <c r="O60" s="60"/>
    </row>
    <row r="61" spans="1:15" ht="11.25">
      <c r="A61" s="60"/>
      <c r="B61" s="46" t="s">
        <v>208</v>
      </c>
      <c r="C61" s="47">
        <v>300</v>
      </c>
      <c r="D61" s="48">
        <v>28.5</v>
      </c>
      <c r="E61" s="48">
        <v>26</v>
      </c>
      <c r="F61" s="48">
        <f aca="true" t="shared" si="6" ref="F61:F67">$C61*$E61</f>
        <v>7800</v>
      </c>
      <c r="G61" s="49">
        <f aca="true" t="shared" si="7" ref="G61:G67">$F61/F$18</f>
        <v>0.025051429438303303</v>
      </c>
      <c r="H61" s="48">
        <f aca="true" t="shared" si="8" ref="H61:H67">$F61-($C61*$D61)</f>
        <v>-750</v>
      </c>
      <c r="I61" s="65"/>
      <c r="J61" s="68" t="s">
        <v>256</v>
      </c>
      <c r="K61" s="68"/>
      <c r="L61" s="81">
        <v>0</v>
      </c>
      <c r="M61" s="59" t="s">
        <v>251</v>
      </c>
      <c r="N61" s="97">
        <v>0</v>
      </c>
      <c r="O61" s="60"/>
    </row>
    <row r="62" spans="1:15" ht="11.25">
      <c r="A62" s="60"/>
      <c r="B62" s="46" t="s">
        <v>318</v>
      </c>
      <c r="C62" s="47">
        <v>300</v>
      </c>
      <c r="D62" s="48">
        <v>103.3</v>
      </c>
      <c r="E62" s="48">
        <v>105</v>
      </c>
      <c r="F62" s="48">
        <f t="shared" si="6"/>
        <v>31500</v>
      </c>
      <c r="G62" s="49">
        <f t="shared" si="7"/>
        <v>0.10116923427007103</v>
      </c>
      <c r="H62" s="48">
        <f t="shared" si="8"/>
        <v>510</v>
      </c>
      <c r="I62" s="63"/>
      <c r="J62" s="78" t="s">
        <v>275</v>
      </c>
      <c r="K62" s="79"/>
      <c r="L62" s="82">
        <f>$L59-$L60+$L61</f>
        <v>16967.852443668453</v>
      </c>
      <c r="M62" s="60"/>
      <c r="N62" s="60"/>
      <c r="O62" s="60"/>
    </row>
    <row r="63" spans="1:15" ht="11.25">
      <c r="A63" s="60"/>
      <c r="B63" s="46" t="s">
        <v>23</v>
      </c>
      <c r="C63" s="47">
        <v>2000</v>
      </c>
      <c r="D63" s="48">
        <v>11.82</v>
      </c>
      <c r="E63" s="48">
        <v>11.1</v>
      </c>
      <c r="F63" s="48">
        <f t="shared" si="6"/>
        <v>22200</v>
      </c>
      <c r="G63" s="49">
        <f t="shared" si="7"/>
        <v>0.07130022224747863</v>
      </c>
      <c r="H63" s="48">
        <f t="shared" si="8"/>
        <v>-1440</v>
      </c>
      <c r="I63" s="65"/>
      <c r="J63" s="114" t="s">
        <v>24</v>
      </c>
      <c r="K63" s="114"/>
      <c r="L63" s="84">
        <f>$F75/$L62</f>
        <v>18.175775001623922</v>
      </c>
      <c r="M63" s="60"/>
      <c r="N63" s="60"/>
      <c r="O63" s="60"/>
    </row>
    <row r="64" spans="1:15" ht="11.25">
      <c r="A64" s="60"/>
      <c r="B64" s="46" t="s">
        <v>200</v>
      </c>
      <c r="C64" s="47">
        <v>18000</v>
      </c>
      <c r="D64" s="48">
        <v>4.18</v>
      </c>
      <c r="E64" s="48">
        <v>4</v>
      </c>
      <c r="F64" s="48">
        <f t="shared" si="6"/>
        <v>72000</v>
      </c>
      <c r="G64" s="49">
        <f t="shared" si="7"/>
        <v>0.23124396404587666</v>
      </c>
      <c r="H64" s="48">
        <f t="shared" si="8"/>
        <v>-3240</v>
      </c>
      <c r="I64" s="63"/>
      <c r="J64" s="115" t="s">
        <v>241</v>
      </c>
      <c r="K64" s="115"/>
      <c r="L64" s="115"/>
      <c r="M64" s="60"/>
      <c r="N64" s="60"/>
      <c r="O64" s="60"/>
    </row>
    <row r="65" spans="1:15" ht="11.25">
      <c r="A65" s="60"/>
      <c r="B65" s="46" t="s">
        <v>334</v>
      </c>
      <c r="C65" s="47">
        <v>3500</v>
      </c>
      <c r="D65" s="48">
        <v>19.6</v>
      </c>
      <c r="E65" s="48">
        <v>18.8</v>
      </c>
      <c r="F65" s="48">
        <f t="shared" si="6"/>
        <v>65800</v>
      </c>
      <c r="G65" s="49">
        <f t="shared" si="7"/>
        <v>0.21133128936414838</v>
      </c>
      <c r="H65" s="48">
        <f t="shared" si="8"/>
        <v>-2800</v>
      </c>
      <c r="I65" s="63"/>
      <c r="J65" s="69" t="s">
        <v>246</v>
      </c>
      <c r="K65" s="70"/>
      <c r="L65" s="100">
        <v>-353.4949999999044</v>
      </c>
      <c r="M65" s="60"/>
      <c r="N65" s="60"/>
      <c r="O65" s="60"/>
    </row>
    <row r="66" spans="1:15" ht="11.25">
      <c r="A66" s="60"/>
      <c r="B66" s="46" t="s">
        <v>337</v>
      </c>
      <c r="C66" s="47">
        <v>1000</v>
      </c>
      <c r="D66" s="48">
        <v>14.5</v>
      </c>
      <c r="E66" s="48">
        <v>14.2</v>
      </c>
      <c r="F66" s="48">
        <f t="shared" si="6"/>
        <v>14200</v>
      </c>
      <c r="G66" s="49">
        <f t="shared" si="7"/>
        <v>0.045606448464603454</v>
      </c>
      <c r="H66" s="48">
        <f t="shared" si="8"/>
        <v>-300</v>
      </c>
      <c r="I66" s="65"/>
      <c r="J66" s="109" t="s">
        <v>244</v>
      </c>
      <c r="K66" s="109"/>
      <c r="L66" s="80">
        <v>0</v>
      </c>
      <c r="M66" s="60"/>
      <c r="N66" s="60"/>
      <c r="O66" s="60"/>
    </row>
    <row r="67" spans="1:15" ht="11.25">
      <c r="A67" s="60"/>
      <c r="B67" s="46" t="s">
        <v>339</v>
      </c>
      <c r="C67" s="47">
        <v>2000</v>
      </c>
      <c r="D67" s="48">
        <v>13</v>
      </c>
      <c r="E67" s="48">
        <v>13</v>
      </c>
      <c r="F67" s="48">
        <f t="shared" si="6"/>
        <v>26000</v>
      </c>
      <c r="G67" s="49">
        <f t="shared" si="7"/>
        <v>0.08350476479434435</v>
      </c>
      <c r="H67" s="48">
        <f t="shared" si="8"/>
        <v>0</v>
      </c>
      <c r="I67" s="63"/>
      <c r="J67" s="109" t="s">
        <v>245</v>
      </c>
      <c r="K67" s="109"/>
      <c r="L67" s="80">
        <v>0</v>
      </c>
      <c r="M67" s="60"/>
      <c r="N67" s="60"/>
      <c r="O67" s="60"/>
    </row>
    <row r="68" spans="1:15" ht="11.25">
      <c r="A68" s="60"/>
      <c r="B68" s="111" t="s">
        <v>25</v>
      </c>
      <c r="C68" s="111"/>
      <c r="D68" s="111"/>
      <c r="E68" s="50"/>
      <c r="F68" s="50">
        <f>SUM($F61:$F67)</f>
        <v>239500</v>
      </c>
      <c r="G68" s="51">
        <f>SUM($G61:$G67)</f>
        <v>0.7692073526248259</v>
      </c>
      <c r="H68" s="48">
        <f>SUM(H61:H67)</f>
        <v>-8020</v>
      </c>
      <c r="I68" s="65"/>
      <c r="J68" s="108" t="s">
        <v>253</v>
      </c>
      <c r="K68" s="108"/>
      <c r="L68" s="87">
        <f>$L60*$N60</f>
        <v>0</v>
      </c>
      <c r="M68" s="60"/>
      <c r="N68" s="58"/>
      <c r="O68" s="60"/>
    </row>
    <row r="69" spans="1:15" ht="11.25">
      <c r="A69" s="60"/>
      <c r="B69" s="104" t="s">
        <v>242</v>
      </c>
      <c r="C69" s="104"/>
      <c r="D69" s="48"/>
      <c r="E69" s="48"/>
      <c r="F69" s="48">
        <v>98470.20827687244</v>
      </c>
      <c r="G69" s="62"/>
      <c r="H69" s="62"/>
      <c r="I69" s="63"/>
      <c r="J69" s="109" t="s">
        <v>249</v>
      </c>
      <c r="K69" s="109"/>
      <c r="L69" s="80">
        <v>0</v>
      </c>
      <c r="M69" s="71"/>
      <c r="N69" s="60"/>
      <c r="O69" s="60"/>
    </row>
    <row r="70" spans="1:15" ht="11.25">
      <c r="A70" s="60"/>
      <c r="B70" s="52" t="s">
        <v>13</v>
      </c>
      <c r="C70" s="52"/>
      <c r="D70" s="48"/>
      <c r="E70" s="48"/>
      <c r="F70" s="48">
        <f>-3566.34-26000</f>
        <v>-29566.34</v>
      </c>
      <c r="G70" s="62"/>
      <c r="H70" s="62"/>
      <c r="I70" s="63"/>
      <c r="J70" s="108" t="s">
        <v>254</v>
      </c>
      <c r="K70" s="108"/>
      <c r="L70" s="87"/>
      <c r="M70" s="60"/>
      <c r="N70" s="94"/>
      <c r="O70" s="60"/>
    </row>
    <row r="71" spans="1:15" ht="11.25">
      <c r="A71" s="60"/>
      <c r="B71" s="104" t="s">
        <v>26</v>
      </c>
      <c r="C71" s="104"/>
      <c r="D71" s="48"/>
      <c r="E71" s="48"/>
      <c r="F71" s="48">
        <v>0</v>
      </c>
      <c r="G71" s="62"/>
      <c r="H71" s="62"/>
      <c r="I71" s="63"/>
      <c r="J71" s="109" t="s">
        <v>248</v>
      </c>
      <c r="K71" s="109"/>
      <c r="L71" s="80">
        <v>0</v>
      </c>
      <c r="M71" s="60"/>
      <c r="N71" s="60"/>
      <c r="O71" s="60"/>
    </row>
    <row r="72" spans="1:15" ht="11.25">
      <c r="A72" s="60"/>
      <c r="B72" s="52" t="s">
        <v>102</v>
      </c>
      <c r="C72" s="52"/>
      <c r="D72" s="48"/>
      <c r="E72" s="48"/>
      <c r="F72" s="48">
        <v>0</v>
      </c>
      <c r="G72" s="62"/>
      <c r="H72" s="62"/>
      <c r="I72" s="63"/>
      <c r="J72" s="110" t="s">
        <v>247</v>
      </c>
      <c r="K72" s="110"/>
      <c r="L72" s="86">
        <f>SUM(L65:L67,L69,L71)</f>
        <v>-353.4949999999044</v>
      </c>
      <c r="M72" s="60"/>
      <c r="N72" s="60"/>
      <c r="O72" s="60"/>
    </row>
    <row r="73" spans="1:15" ht="11.25">
      <c r="A73" s="60"/>
      <c r="B73" s="104" t="s">
        <v>89</v>
      </c>
      <c r="C73" s="104"/>
      <c r="D73" s="48"/>
      <c r="E73" s="48"/>
      <c r="F73" s="48">
        <v>0</v>
      </c>
      <c r="G73" s="62"/>
      <c r="H73" s="62"/>
      <c r="I73" s="63"/>
      <c r="J73" s="55" t="s">
        <v>203</v>
      </c>
      <c r="K73" s="55"/>
      <c r="L73" s="50">
        <v>75019.47827687243</v>
      </c>
      <c r="M73" s="60"/>
      <c r="N73" s="60"/>
      <c r="O73" s="60"/>
    </row>
    <row r="74" spans="1:15" ht="11.25">
      <c r="A74" s="60"/>
      <c r="B74" s="105" t="s">
        <v>243</v>
      </c>
      <c r="C74" s="105"/>
      <c r="D74" s="105"/>
      <c r="E74" s="53"/>
      <c r="F74" s="50">
        <f>SUM($F69:$F73)</f>
        <v>68903.86827687244</v>
      </c>
      <c r="G74" s="51">
        <f>$F74/$F75</f>
        <v>0.22342089501618492</v>
      </c>
      <c r="H74" s="57">
        <f>H58+5</f>
        <v>38013</v>
      </c>
      <c r="I74" s="63"/>
      <c r="J74" s="98" t="s">
        <v>118</v>
      </c>
      <c r="K74" s="98"/>
      <c r="L74" s="99">
        <f>SUM($L72:$L73)</f>
        <v>74665.98327687252</v>
      </c>
      <c r="M74" s="60"/>
      <c r="N74" s="60"/>
      <c r="O74" s="60"/>
    </row>
    <row r="75" spans="1:15" ht="13.5">
      <c r="A75" s="60"/>
      <c r="B75" s="107" t="s">
        <v>15</v>
      </c>
      <c r="C75" s="107"/>
      <c r="D75" s="107"/>
      <c r="E75" s="54"/>
      <c r="F75" s="74">
        <f>SUM($F68,$F74)</f>
        <v>308403.86827687244</v>
      </c>
      <c r="G75" s="56">
        <f>SUM($G68,$G74)</f>
        <v>0.9926282476410108</v>
      </c>
      <c r="H75" s="66"/>
      <c r="I75" s="63"/>
      <c r="J75" s="106" t="s">
        <v>117</v>
      </c>
      <c r="K75" s="106"/>
      <c r="L75" s="85">
        <f>$F75+$L72+$L68+$L70</f>
        <v>308050.37327687256</v>
      </c>
      <c r="M75" s="60"/>
      <c r="N75" s="60"/>
      <c r="O75" s="60"/>
    </row>
    <row r="76" spans="1:15" ht="11.25">
      <c r="A76" s="60"/>
      <c r="B76" s="60"/>
      <c r="C76" s="60"/>
      <c r="D76" s="60"/>
      <c r="E76" s="60"/>
      <c r="F76" s="60"/>
      <c r="G76" s="66"/>
      <c r="H76" s="67"/>
      <c r="I76" s="63"/>
      <c r="J76" s="60"/>
      <c r="K76" s="60"/>
      <c r="L76" s="60"/>
      <c r="M76" s="60"/>
      <c r="N76" s="60"/>
      <c r="O76" s="60"/>
    </row>
    <row r="77" spans="1:15" ht="15.75">
      <c r="A77" s="60"/>
      <c r="B77" s="75"/>
      <c r="C77" s="75"/>
      <c r="D77" s="75"/>
      <c r="E77" s="76"/>
      <c r="F77" s="63"/>
      <c r="G77" s="77" t="s">
        <v>237</v>
      </c>
      <c r="H77" s="112">
        <v>38009</v>
      </c>
      <c r="I77" s="112"/>
      <c r="J77" s="112"/>
      <c r="K77" s="60"/>
      <c r="L77" s="60"/>
      <c r="M77" s="60"/>
      <c r="N77" s="60"/>
      <c r="O77" s="60"/>
    </row>
    <row r="78" spans="1:15" ht="11.25">
      <c r="A78" s="61"/>
      <c r="B78" s="113" t="s">
        <v>250</v>
      </c>
      <c r="C78" s="113"/>
      <c r="D78" s="113"/>
      <c r="E78" s="113"/>
      <c r="F78" s="113"/>
      <c r="G78" s="113"/>
      <c r="H78" s="113"/>
      <c r="I78" s="64"/>
      <c r="J78" s="68" t="s">
        <v>252</v>
      </c>
      <c r="K78" s="68"/>
      <c r="L78" s="47">
        <v>16967.852443668453</v>
      </c>
      <c r="M78" s="72"/>
      <c r="N78" s="73"/>
      <c r="O78" s="61"/>
    </row>
    <row r="79" spans="1:15" ht="11.25">
      <c r="A79" s="60"/>
      <c r="B79" s="45" t="s">
        <v>2</v>
      </c>
      <c r="C79" s="45" t="s">
        <v>4</v>
      </c>
      <c r="D79" s="45" t="s">
        <v>9</v>
      </c>
      <c r="E79" s="45" t="s">
        <v>10</v>
      </c>
      <c r="F79" s="45" t="s">
        <v>11</v>
      </c>
      <c r="G79" s="45" t="s">
        <v>12</v>
      </c>
      <c r="H79" s="45" t="s">
        <v>240</v>
      </c>
      <c r="I79" s="63"/>
      <c r="J79" s="68" t="s">
        <v>255</v>
      </c>
      <c r="K79" s="68"/>
      <c r="L79" s="81">
        <v>0</v>
      </c>
      <c r="M79" s="59" t="s">
        <v>251</v>
      </c>
      <c r="N79" s="83">
        <v>0</v>
      </c>
      <c r="O79" s="60"/>
    </row>
    <row r="80" spans="1:15" ht="11.25">
      <c r="A80" s="60"/>
      <c r="B80" s="46" t="s">
        <v>208</v>
      </c>
      <c r="C80" s="47">
        <v>300</v>
      </c>
      <c r="D80" s="48">
        <v>28.5</v>
      </c>
      <c r="E80" s="48">
        <v>26</v>
      </c>
      <c r="F80" s="48">
        <f aca="true" t="shared" si="9" ref="F80:F88">$C80*$E80</f>
        <v>7800</v>
      </c>
      <c r="G80" s="49">
        <f aca="true" t="shared" si="10" ref="G80:G88">$F80/F$18</f>
        <v>0.025051429438303303</v>
      </c>
      <c r="H80" s="48">
        <f aca="true" t="shared" si="11" ref="H80:H88">$F80-($C80*$D80)</f>
        <v>-750</v>
      </c>
      <c r="I80" s="65"/>
      <c r="J80" s="68" t="s">
        <v>256</v>
      </c>
      <c r="K80" s="68"/>
      <c r="L80" s="81">
        <v>1661.62840925264</v>
      </c>
      <c r="M80" s="59" t="s">
        <v>251</v>
      </c>
      <c r="N80" s="97">
        <v>18.05457816738534</v>
      </c>
      <c r="O80" s="60"/>
    </row>
    <row r="81" spans="1:15" ht="11.25">
      <c r="A81" s="60"/>
      <c r="B81" s="46" t="s">
        <v>318</v>
      </c>
      <c r="C81" s="47">
        <v>300</v>
      </c>
      <c r="D81" s="48">
        <v>103.3</v>
      </c>
      <c r="E81" s="48">
        <v>103</v>
      </c>
      <c r="F81" s="48">
        <f t="shared" si="9"/>
        <v>30900</v>
      </c>
      <c r="G81" s="49">
        <f t="shared" si="10"/>
        <v>0.0992422012363554</v>
      </c>
      <c r="H81" s="48">
        <f t="shared" si="11"/>
        <v>-90</v>
      </c>
      <c r="I81" s="63"/>
      <c r="J81" s="78" t="s">
        <v>275</v>
      </c>
      <c r="K81" s="79"/>
      <c r="L81" s="82">
        <f>$L78-$L79+$L80</f>
        <v>18629.480852921093</v>
      </c>
      <c r="M81" s="60"/>
      <c r="N81" s="60"/>
      <c r="O81" s="60"/>
    </row>
    <row r="82" spans="1:15" ht="11.25">
      <c r="A82" s="60"/>
      <c r="B82" s="46" t="s">
        <v>23</v>
      </c>
      <c r="C82" s="47">
        <v>2000</v>
      </c>
      <c r="D82" s="48">
        <v>11.82</v>
      </c>
      <c r="E82" s="48">
        <v>11</v>
      </c>
      <c r="F82" s="48">
        <f t="shared" si="9"/>
        <v>22000</v>
      </c>
      <c r="G82" s="49">
        <f t="shared" si="10"/>
        <v>0.07065787790290676</v>
      </c>
      <c r="H82" s="48">
        <f t="shared" si="11"/>
        <v>-1640</v>
      </c>
      <c r="I82" s="65"/>
      <c r="J82" s="114" t="s">
        <v>24</v>
      </c>
      <c r="K82" s="114"/>
      <c r="L82" s="84">
        <f>$F96/$L81</f>
        <v>18.05457816738534</v>
      </c>
      <c r="M82" s="60"/>
      <c r="N82" s="60"/>
      <c r="O82" s="60"/>
    </row>
    <row r="83" spans="1:15" ht="11.25">
      <c r="A83" s="60"/>
      <c r="B83" s="46" t="s">
        <v>200</v>
      </c>
      <c r="C83" s="47">
        <v>19000</v>
      </c>
      <c r="D83" s="48">
        <v>4.18</v>
      </c>
      <c r="E83" s="48">
        <v>3.98</v>
      </c>
      <c r="F83" s="48">
        <f t="shared" si="9"/>
        <v>75620</v>
      </c>
      <c r="G83" s="49">
        <f t="shared" si="10"/>
        <v>0.24287039668262767</v>
      </c>
      <c r="H83" s="48">
        <f t="shared" si="11"/>
        <v>-3800</v>
      </c>
      <c r="I83" s="63"/>
      <c r="J83" s="115" t="s">
        <v>241</v>
      </c>
      <c r="K83" s="115"/>
      <c r="L83" s="115"/>
      <c r="M83" s="60"/>
      <c r="N83" s="60"/>
      <c r="O83" s="60"/>
    </row>
    <row r="84" spans="1:15" ht="11.25">
      <c r="A84" s="60"/>
      <c r="B84" s="46" t="s">
        <v>334</v>
      </c>
      <c r="C84" s="47">
        <v>3500</v>
      </c>
      <c r="D84" s="48">
        <v>19.6</v>
      </c>
      <c r="E84" s="48">
        <v>18.5</v>
      </c>
      <c r="F84" s="48">
        <f t="shared" si="9"/>
        <v>64750</v>
      </c>
      <c r="G84" s="49">
        <f t="shared" si="10"/>
        <v>0.20795898155514603</v>
      </c>
      <c r="H84" s="48">
        <f t="shared" si="11"/>
        <v>-3850</v>
      </c>
      <c r="I84" s="63"/>
      <c r="J84" s="69" t="s">
        <v>246</v>
      </c>
      <c r="K84" s="70"/>
      <c r="L84" s="100">
        <v>-353.4949999999044</v>
      </c>
      <c r="M84" s="60"/>
      <c r="N84" s="60"/>
      <c r="O84" s="60"/>
    </row>
    <row r="85" spans="1:15" ht="11.25">
      <c r="A85" s="60"/>
      <c r="B85" s="46" t="s">
        <v>322</v>
      </c>
      <c r="C85" s="47">
        <v>7800</v>
      </c>
      <c r="D85" s="48">
        <v>3.76</v>
      </c>
      <c r="E85" s="48">
        <v>3.76</v>
      </c>
      <c r="F85" s="48">
        <f t="shared" si="9"/>
        <v>29328</v>
      </c>
      <c r="G85" s="49">
        <f t="shared" si="10"/>
        <v>0.09419337468802043</v>
      </c>
      <c r="H85" s="48">
        <f t="shared" si="11"/>
        <v>0</v>
      </c>
      <c r="I85" s="65"/>
      <c r="J85" s="109" t="s">
        <v>244</v>
      </c>
      <c r="K85" s="109"/>
      <c r="L85" s="80">
        <v>0</v>
      </c>
      <c r="M85" s="60"/>
      <c r="N85" s="60"/>
      <c r="O85" s="60"/>
    </row>
    <row r="86" spans="1:15" ht="11.25">
      <c r="A86" s="60"/>
      <c r="B86" s="46" t="s">
        <v>337</v>
      </c>
      <c r="C86" s="47">
        <v>1000</v>
      </c>
      <c r="D86" s="48">
        <v>14.5</v>
      </c>
      <c r="E86" s="48">
        <v>14.3</v>
      </c>
      <c r="F86" s="48">
        <f t="shared" si="9"/>
        <v>14300</v>
      </c>
      <c r="G86" s="49">
        <f t="shared" si="10"/>
        <v>0.04592762063688939</v>
      </c>
      <c r="H86" s="48">
        <f t="shared" si="11"/>
        <v>-200</v>
      </c>
      <c r="I86" s="63"/>
      <c r="J86" s="109" t="s">
        <v>245</v>
      </c>
      <c r="K86" s="109"/>
      <c r="L86" s="80">
        <v>34000</v>
      </c>
      <c r="M86" s="60"/>
      <c r="N86" s="60"/>
      <c r="O86" s="60"/>
    </row>
    <row r="87" spans="1:15" ht="11.25">
      <c r="A87" s="60"/>
      <c r="B87" s="46" t="s">
        <v>339</v>
      </c>
      <c r="C87" s="47">
        <v>2000</v>
      </c>
      <c r="D87" s="48">
        <v>13</v>
      </c>
      <c r="E87" s="48">
        <v>13</v>
      </c>
      <c r="F87" s="48">
        <f t="shared" si="9"/>
        <v>26000</v>
      </c>
      <c r="G87" s="49">
        <f t="shared" si="10"/>
        <v>0.08350476479434435</v>
      </c>
      <c r="H87" s="48">
        <f t="shared" si="11"/>
        <v>0</v>
      </c>
      <c r="I87" s="65"/>
      <c r="J87" s="108" t="s">
        <v>253</v>
      </c>
      <c r="K87" s="108"/>
      <c r="L87" s="87">
        <f>$L79*$N79</f>
        <v>0</v>
      </c>
      <c r="M87" s="60"/>
      <c r="N87" s="58"/>
      <c r="O87" s="60"/>
    </row>
    <row r="88" spans="1:15" ht="11.25">
      <c r="A88" s="60"/>
      <c r="B88" s="46" t="s">
        <v>323</v>
      </c>
      <c r="C88" s="47">
        <v>4000</v>
      </c>
      <c r="D88" s="48">
        <v>12.1</v>
      </c>
      <c r="E88" s="48">
        <v>11.9</v>
      </c>
      <c r="F88" s="48">
        <f t="shared" si="9"/>
        <v>47600</v>
      </c>
      <c r="G88" s="49">
        <f t="shared" si="10"/>
        <v>0.15287795400810733</v>
      </c>
      <c r="H88" s="48">
        <f t="shared" si="11"/>
        <v>-800</v>
      </c>
      <c r="I88" s="63"/>
      <c r="J88" s="109" t="s">
        <v>249</v>
      </c>
      <c r="K88" s="109"/>
      <c r="L88" s="80">
        <v>0</v>
      </c>
      <c r="M88" s="71"/>
      <c r="N88" s="60"/>
      <c r="O88" s="60"/>
    </row>
    <row r="89" spans="1:15" ht="11.25">
      <c r="A89" s="60"/>
      <c r="B89" s="111" t="s">
        <v>25</v>
      </c>
      <c r="C89" s="111"/>
      <c r="D89" s="111"/>
      <c r="E89" s="50"/>
      <c r="F89" s="50">
        <f>SUM($F80:$F88)</f>
        <v>318298</v>
      </c>
      <c r="G89" s="51">
        <f>SUM($G80:$G88)</f>
        <v>1.0222846009427007</v>
      </c>
      <c r="H89" s="48">
        <f>SUM(H80:H88)</f>
        <v>-11130</v>
      </c>
      <c r="I89" s="63"/>
      <c r="J89" s="108" t="s">
        <v>254</v>
      </c>
      <c r="K89" s="108"/>
      <c r="L89" s="87">
        <v>-30000</v>
      </c>
      <c r="M89" s="60"/>
      <c r="N89" s="94">
        <v>38014</v>
      </c>
      <c r="O89" s="60"/>
    </row>
    <row r="90" spans="1:15" ht="11.25">
      <c r="A90" s="60"/>
      <c r="B90" s="104" t="s">
        <v>242</v>
      </c>
      <c r="C90" s="104"/>
      <c r="D90" s="48"/>
      <c r="E90" s="48"/>
      <c r="F90" s="48">
        <v>68903.86827687244</v>
      </c>
      <c r="G90" s="62"/>
      <c r="H90" s="62"/>
      <c r="I90" s="63"/>
      <c r="J90" s="109" t="s">
        <v>248</v>
      </c>
      <c r="K90" s="109"/>
      <c r="L90" s="80">
        <v>0</v>
      </c>
      <c r="M90" s="60"/>
      <c r="N90" s="60"/>
      <c r="O90" s="60"/>
    </row>
    <row r="91" spans="1:15" ht="11.25">
      <c r="A91" s="60"/>
      <c r="B91" s="52" t="s">
        <v>13</v>
      </c>
      <c r="C91" s="52"/>
      <c r="D91" s="48"/>
      <c r="E91" s="48"/>
      <c r="F91" s="48">
        <v>-80854.45</v>
      </c>
      <c r="G91" s="62"/>
      <c r="H91" s="62"/>
      <c r="I91" s="63"/>
      <c r="J91" s="110" t="s">
        <v>247</v>
      </c>
      <c r="K91" s="110"/>
      <c r="L91" s="86">
        <f>SUM(L84:L86,L88,L90)</f>
        <v>33646.50500000009</v>
      </c>
      <c r="M91" s="60"/>
      <c r="N91" s="60"/>
      <c r="O91" s="60"/>
    </row>
    <row r="92" spans="1:15" ht="11.25">
      <c r="A92" s="60"/>
      <c r="B92" s="104" t="s">
        <v>26</v>
      </c>
      <c r="C92" s="104"/>
      <c r="D92" s="48"/>
      <c r="E92" s="48"/>
      <c r="F92" s="48">
        <v>0</v>
      </c>
      <c r="G92" s="62"/>
      <c r="H92" s="62"/>
      <c r="I92" s="63"/>
      <c r="J92" s="55" t="s">
        <v>203</v>
      </c>
      <c r="K92" s="55"/>
      <c r="L92" s="50">
        <v>50448.268276872426</v>
      </c>
      <c r="M92" s="60"/>
      <c r="N92" s="60"/>
      <c r="O92" s="60"/>
    </row>
    <row r="93" spans="1:15" ht="11.25">
      <c r="A93" s="60"/>
      <c r="B93" s="52" t="s">
        <v>102</v>
      </c>
      <c r="C93" s="52"/>
      <c r="D93" s="48"/>
      <c r="E93" s="48"/>
      <c r="F93" s="48">
        <v>0</v>
      </c>
      <c r="G93" s="62"/>
      <c r="H93" s="62"/>
      <c r="I93" s="63"/>
      <c r="J93" s="98" t="s">
        <v>118</v>
      </c>
      <c r="K93" s="98"/>
      <c r="L93" s="99">
        <f>SUM($L91:$L92)</f>
        <v>84094.77327687253</v>
      </c>
      <c r="M93" s="60"/>
      <c r="N93" s="60"/>
      <c r="O93" s="60"/>
    </row>
    <row r="94" spans="1:15" ht="13.5">
      <c r="A94" s="60"/>
      <c r="B94" s="104" t="s">
        <v>89</v>
      </c>
      <c r="C94" s="104"/>
      <c r="D94" s="48"/>
      <c r="E94" s="48"/>
      <c r="F94" s="48">
        <v>30000</v>
      </c>
      <c r="G94" s="62"/>
      <c r="H94" s="62"/>
      <c r="I94" s="63"/>
      <c r="J94" s="106" t="s">
        <v>117</v>
      </c>
      <c r="K94" s="106"/>
      <c r="L94" s="85">
        <f>$F96+$L91+$L87+$L89</f>
        <v>339993.9232768725</v>
      </c>
      <c r="M94" s="60"/>
      <c r="N94" s="60"/>
      <c r="O94" s="60"/>
    </row>
    <row r="95" spans="1:15" ht="11.25">
      <c r="A95" s="60"/>
      <c r="B95" s="105" t="s">
        <v>243</v>
      </c>
      <c r="C95" s="105"/>
      <c r="D95" s="105"/>
      <c r="E95" s="53"/>
      <c r="F95" s="50">
        <f>SUM($F90:$F94)</f>
        <v>18049.418276872442</v>
      </c>
      <c r="G95" s="51">
        <f>$F95/$F96</f>
        <v>0.05366302012764264</v>
      </c>
      <c r="H95" s="57">
        <f>H77+5</f>
        <v>38014</v>
      </c>
      <c r="I95" s="63"/>
      <c r="J95" s="60"/>
      <c r="K95" s="60"/>
      <c r="L95" s="60"/>
      <c r="M95" s="60"/>
      <c r="N95" s="60"/>
      <c r="O95" s="60"/>
    </row>
    <row r="96" spans="1:15" ht="13.5">
      <c r="A96" s="60"/>
      <c r="B96" s="107" t="s">
        <v>15</v>
      </c>
      <c r="C96" s="107"/>
      <c r="D96" s="107"/>
      <c r="E96" s="54"/>
      <c r="F96" s="74">
        <f>SUM($F89,$F95)</f>
        <v>336347.4182768724</v>
      </c>
      <c r="G96" s="56">
        <f>SUM($G89,$G95)</f>
        <v>1.0759476210703434</v>
      </c>
      <c r="H96" s="66"/>
      <c r="I96" s="63"/>
      <c r="J96" s="60"/>
      <c r="K96" s="60"/>
      <c r="L96" s="60"/>
      <c r="M96" s="60"/>
      <c r="N96" s="60"/>
      <c r="O96" s="60"/>
    </row>
    <row r="97" spans="1:15" ht="11.25">
      <c r="A97" s="60"/>
      <c r="B97" s="60"/>
      <c r="C97" s="60"/>
      <c r="D97" s="60"/>
      <c r="E97" s="60"/>
      <c r="F97" s="60"/>
      <c r="G97" s="66"/>
      <c r="H97" s="67"/>
      <c r="I97" s="63"/>
      <c r="J97" s="60"/>
      <c r="K97" s="60"/>
      <c r="L97" s="60"/>
      <c r="M97" s="60"/>
      <c r="N97" s="60"/>
      <c r="O97" s="60"/>
    </row>
    <row r="98" ht="11.25">
      <c r="L98" s="9"/>
    </row>
  </sheetData>
  <mergeCells count="90">
    <mergeCell ref="B94:C94"/>
    <mergeCell ref="B95:D95"/>
    <mergeCell ref="B96:D96"/>
    <mergeCell ref="J94:K94"/>
    <mergeCell ref="B90:C90"/>
    <mergeCell ref="J88:K88"/>
    <mergeCell ref="J89:K89"/>
    <mergeCell ref="B92:C92"/>
    <mergeCell ref="J90:K90"/>
    <mergeCell ref="J91:K91"/>
    <mergeCell ref="J85:K85"/>
    <mergeCell ref="J86:K86"/>
    <mergeCell ref="B89:D89"/>
    <mergeCell ref="J87:K87"/>
    <mergeCell ref="H77:J77"/>
    <mergeCell ref="B78:H78"/>
    <mergeCell ref="J82:K82"/>
    <mergeCell ref="J83:L83"/>
    <mergeCell ref="J34:K34"/>
    <mergeCell ref="B35:C35"/>
    <mergeCell ref="B36:D36"/>
    <mergeCell ref="B37:D37"/>
    <mergeCell ref="J37:K37"/>
    <mergeCell ref="B31:C31"/>
    <mergeCell ref="J31:K31"/>
    <mergeCell ref="J32:K32"/>
    <mergeCell ref="B33:C33"/>
    <mergeCell ref="J33:K33"/>
    <mergeCell ref="J28:K28"/>
    <mergeCell ref="J29:K29"/>
    <mergeCell ref="B30:D30"/>
    <mergeCell ref="J30:K30"/>
    <mergeCell ref="H20:J20"/>
    <mergeCell ref="B21:H21"/>
    <mergeCell ref="J25:K25"/>
    <mergeCell ref="J26:L26"/>
    <mergeCell ref="J15:K15"/>
    <mergeCell ref="B16:C16"/>
    <mergeCell ref="B17:D17"/>
    <mergeCell ref="B18:D18"/>
    <mergeCell ref="J18:K18"/>
    <mergeCell ref="B12:C12"/>
    <mergeCell ref="J12:K12"/>
    <mergeCell ref="J13:K13"/>
    <mergeCell ref="B14:C14"/>
    <mergeCell ref="J14:K14"/>
    <mergeCell ref="J9:K9"/>
    <mergeCell ref="J10:K10"/>
    <mergeCell ref="B11:D11"/>
    <mergeCell ref="J11:K11"/>
    <mergeCell ref="H1:J1"/>
    <mergeCell ref="B2:H2"/>
    <mergeCell ref="J6:K6"/>
    <mergeCell ref="J7:L7"/>
    <mergeCell ref="H39:J39"/>
    <mergeCell ref="B40:H40"/>
    <mergeCell ref="J44:K44"/>
    <mergeCell ref="J45:L45"/>
    <mergeCell ref="J47:K47"/>
    <mergeCell ref="J48:K48"/>
    <mergeCell ref="B49:D49"/>
    <mergeCell ref="J49:K49"/>
    <mergeCell ref="B50:C50"/>
    <mergeCell ref="J50:K50"/>
    <mergeCell ref="J51:K51"/>
    <mergeCell ref="B52:C52"/>
    <mergeCell ref="J52:K52"/>
    <mergeCell ref="J53:K53"/>
    <mergeCell ref="B54:C54"/>
    <mergeCell ref="B55:D55"/>
    <mergeCell ref="B56:D56"/>
    <mergeCell ref="J56:K56"/>
    <mergeCell ref="H58:J58"/>
    <mergeCell ref="B59:H59"/>
    <mergeCell ref="J63:K63"/>
    <mergeCell ref="J64:L64"/>
    <mergeCell ref="J66:K66"/>
    <mergeCell ref="J67:K67"/>
    <mergeCell ref="B68:D68"/>
    <mergeCell ref="J68:K68"/>
    <mergeCell ref="B69:C69"/>
    <mergeCell ref="J69:K69"/>
    <mergeCell ref="J70:K70"/>
    <mergeCell ref="B71:C71"/>
    <mergeCell ref="J71:K71"/>
    <mergeCell ref="J72:K72"/>
    <mergeCell ref="B73:C73"/>
    <mergeCell ref="B74:D74"/>
    <mergeCell ref="B75:D75"/>
    <mergeCell ref="J75:K7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72">
      <selection activeCell="F98" sqref="F98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60"/>
      <c r="B1" s="75"/>
      <c r="C1" s="75"/>
      <c r="D1" s="75"/>
      <c r="E1" s="76"/>
      <c r="F1" s="63"/>
      <c r="G1" s="77" t="s">
        <v>229</v>
      </c>
      <c r="H1" s="112">
        <v>38012</v>
      </c>
      <c r="I1" s="112"/>
      <c r="J1" s="112"/>
      <c r="K1" s="60"/>
      <c r="L1" s="60"/>
      <c r="M1" s="60"/>
      <c r="N1" s="60"/>
      <c r="O1" s="60"/>
    </row>
    <row r="2" spans="1:15" ht="11.25">
      <c r="A2" s="61"/>
      <c r="B2" s="113" t="s">
        <v>250</v>
      </c>
      <c r="C2" s="113"/>
      <c r="D2" s="113"/>
      <c r="E2" s="113"/>
      <c r="F2" s="113"/>
      <c r="G2" s="113"/>
      <c r="H2" s="113"/>
      <c r="I2" s="64"/>
      <c r="J2" s="68" t="s">
        <v>252</v>
      </c>
      <c r="K2" s="68"/>
      <c r="L2" s="47">
        <v>18629.480852921093</v>
      </c>
      <c r="M2" s="72"/>
      <c r="N2" s="73"/>
      <c r="O2" s="61"/>
    </row>
    <row r="3" spans="1:15" ht="11.25">
      <c r="A3" s="60"/>
      <c r="B3" s="45" t="s">
        <v>2</v>
      </c>
      <c r="C3" s="45" t="s">
        <v>4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240</v>
      </c>
      <c r="I3" s="63"/>
      <c r="J3" s="68" t="s">
        <v>255</v>
      </c>
      <c r="K3" s="68"/>
      <c r="L3" s="81">
        <v>0</v>
      </c>
      <c r="M3" s="59" t="s">
        <v>251</v>
      </c>
      <c r="N3" s="83">
        <v>0</v>
      </c>
      <c r="O3" s="60"/>
    </row>
    <row r="4" spans="1:15" ht="11.25">
      <c r="A4" s="60"/>
      <c r="B4" s="46" t="s">
        <v>208</v>
      </c>
      <c r="C4" s="47">
        <v>300</v>
      </c>
      <c r="D4" s="48">
        <v>28.5</v>
      </c>
      <c r="E4" s="48">
        <v>26</v>
      </c>
      <c r="F4" s="48">
        <f aca="true" t="shared" si="0" ref="F4:F11">$C4*$E4</f>
        <v>7800</v>
      </c>
      <c r="G4" s="49">
        <f>$F4/F$19</f>
        <v>0.023722605495344804</v>
      </c>
      <c r="H4" s="48">
        <f aca="true" t="shared" si="1" ref="H4:H11">$F4-($C4*$D4)</f>
        <v>-750</v>
      </c>
      <c r="I4" s="65"/>
      <c r="J4" s="68" t="s">
        <v>256</v>
      </c>
      <c r="K4" s="68"/>
      <c r="L4" s="81">
        <v>0</v>
      </c>
      <c r="M4" s="59" t="s">
        <v>251</v>
      </c>
      <c r="N4" s="97">
        <v>0</v>
      </c>
      <c r="O4" s="60"/>
    </row>
    <row r="5" spans="1:15" ht="11.25">
      <c r="A5" s="60"/>
      <c r="B5" s="46" t="s">
        <v>318</v>
      </c>
      <c r="C5" s="47">
        <v>300</v>
      </c>
      <c r="D5" s="48">
        <v>103.3</v>
      </c>
      <c r="E5" s="48">
        <v>101</v>
      </c>
      <c r="F5" s="48">
        <f t="shared" si="0"/>
        <v>30300</v>
      </c>
      <c r="G5" s="49">
        <f aca="true" t="shared" si="2" ref="G5:G11">$F5/F$19</f>
        <v>0.09215319827037789</v>
      </c>
      <c r="H5" s="48">
        <f t="shared" si="1"/>
        <v>-690</v>
      </c>
      <c r="I5" s="63"/>
      <c r="J5" s="78" t="s">
        <v>275</v>
      </c>
      <c r="K5" s="79"/>
      <c r="L5" s="82">
        <f>$L2-$L3+$L4</f>
        <v>18629.480852921093</v>
      </c>
      <c r="M5" s="60"/>
      <c r="N5" s="60"/>
      <c r="O5" s="60"/>
    </row>
    <row r="6" spans="1:15" ht="11.25">
      <c r="A6" s="60"/>
      <c r="B6" s="46" t="s">
        <v>23</v>
      </c>
      <c r="C6" s="47">
        <v>2000</v>
      </c>
      <c r="D6" s="48">
        <v>11.82</v>
      </c>
      <c r="E6" s="48">
        <v>11.1</v>
      </c>
      <c r="F6" s="48">
        <f t="shared" si="0"/>
        <v>22200</v>
      </c>
      <c r="G6" s="49">
        <f t="shared" si="2"/>
        <v>0.06751818487136599</v>
      </c>
      <c r="H6" s="48">
        <f t="shared" si="1"/>
        <v>-1440</v>
      </c>
      <c r="I6" s="65"/>
      <c r="J6" s="114" t="s">
        <v>24</v>
      </c>
      <c r="K6" s="114"/>
      <c r="L6" s="84">
        <f>$F19/$L5</f>
        <v>17.649461671677056</v>
      </c>
      <c r="M6" s="60"/>
      <c r="N6" s="60"/>
      <c r="O6" s="60"/>
    </row>
    <row r="7" spans="1:15" ht="11.25">
      <c r="A7" s="60"/>
      <c r="B7" s="46" t="s">
        <v>200</v>
      </c>
      <c r="C7" s="47">
        <v>19000</v>
      </c>
      <c r="D7" s="48">
        <v>4.18</v>
      </c>
      <c r="E7" s="48">
        <v>3.9</v>
      </c>
      <c r="F7" s="48">
        <f t="shared" si="0"/>
        <v>74100</v>
      </c>
      <c r="G7" s="49">
        <f t="shared" si="2"/>
        <v>0.22536475220577565</v>
      </c>
      <c r="H7" s="48">
        <f t="shared" si="1"/>
        <v>-5320</v>
      </c>
      <c r="I7" s="63"/>
      <c r="J7" s="115" t="s">
        <v>241</v>
      </c>
      <c r="K7" s="115"/>
      <c r="L7" s="115"/>
      <c r="M7" s="60"/>
      <c r="N7" s="60"/>
      <c r="O7" s="60"/>
    </row>
    <row r="8" spans="1:15" ht="11.25">
      <c r="A8" s="60"/>
      <c r="B8" s="46" t="s">
        <v>334</v>
      </c>
      <c r="C8" s="47">
        <v>4500</v>
      </c>
      <c r="D8" s="48">
        <v>18.4</v>
      </c>
      <c r="E8" s="48">
        <v>17.5</v>
      </c>
      <c r="F8" s="48">
        <f t="shared" si="0"/>
        <v>78750</v>
      </c>
      <c r="G8" s="49">
        <f t="shared" si="2"/>
        <v>0.23950707471261581</v>
      </c>
      <c r="H8" s="48">
        <f t="shared" si="1"/>
        <v>-4050</v>
      </c>
      <c r="I8" s="63"/>
      <c r="J8" s="69" t="s">
        <v>246</v>
      </c>
      <c r="K8" s="70"/>
      <c r="L8" s="100">
        <v>33646.50500000009</v>
      </c>
      <c r="M8" s="60"/>
      <c r="N8" s="60"/>
      <c r="O8" s="60"/>
    </row>
    <row r="9" spans="1:15" ht="11.25">
      <c r="A9" s="60"/>
      <c r="B9" s="46" t="s">
        <v>322</v>
      </c>
      <c r="C9" s="47">
        <v>11800</v>
      </c>
      <c r="D9" s="48">
        <v>3.74</v>
      </c>
      <c r="E9" s="48">
        <v>3.5</v>
      </c>
      <c r="F9" s="48">
        <f t="shared" si="0"/>
        <v>41300</v>
      </c>
      <c r="G9" s="49">
        <f t="shared" si="2"/>
        <v>0.12560815473817186</v>
      </c>
      <c r="H9" s="48">
        <f t="shared" si="1"/>
        <v>-2832</v>
      </c>
      <c r="I9" s="65"/>
      <c r="J9" s="109" t="s">
        <v>244</v>
      </c>
      <c r="K9" s="109"/>
      <c r="L9" s="80">
        <v>-900</v>
      </c>
      <c r="M9" s="60"/>
      <c r="N9" s="60"/>
      <c r="O9" s="60"/>
    </row>
    <row r="10" spans="1:15" ht="11.25">
      <c r="A10" s="60"/>
      <c r="B10" s="46" t="s">
        <v>337</v>
      </c>
      <c r="C10" s="47">
        <v>1000</v>
      </c>
      <c r="D10" s="48">
        <v>14.5</v>
      </c>
      <c r="E10" s="48">
        <v>13.8</v>
      </c>
      <c r="F10" s="48">
        <f t="shared" si="0"/>
        <v>13800</v>
      </c>
      <c r="G10" s="49">
        <f t="shared" si="2"/>
        <v>0.04197076356868696</v>
      </c>
      <c r="H10" s="48">
        <f t="shared" si="1"/>
        <v>-700</v>
      </c>
      <c r="I10" s="63"/>
      <c r="J10" s="109" t="s">
        <v>245</v>
      </c>
      <c r="K10" s="109"/>
      <c r="L10" s="80">
        <v>0</v>
      </c>
      <c r="M10" s="60"/>
      <c r="N10" s="60"/>
      <c r="O10" s="60"/>
    </row>
    <row r="11" spans="1:15" ht="11.25">
      <c r="A11" s="60"/>
      <c r="B11" s="46" t="s">
        <v>339</v>
      </c>
      <c r="C11" s="47">
        <v>2000</v>
      </c>
      <c r="D11" s="48">
        <v>13</v>
      </c>
      <c r="E11" s="48">
        <v>13</v>
      </c>
      <c r="F11" s="48">
        <f t="shared" si="0"/>
        <v>26000</v>
      </c>
      <c r="G11" s="49">
        <f t="shared" si="2"/>
        <v>0.07907535165114934</v>
      </c>
      <c r="H11" s="48">
        <f t="shared" si="1"/>
        <v>0</v>
      </c>
      <c r="I11" s="65"/>
      <c r="J11" s="108" t="s">
        <v>253</v>
      </c>
      <c r="K11" s="108"/>
      <c r="L11" s="87">
        <f>$L3*$N3</f>
        <v>0</v>
      </c>
      <c r="M11" s="60"/>
      <c r="N11" s="58"/>
      <c r="O11" s="60"/>
    </row>
    <row r="12" spans="1:15" ht="11.25">
      <c r="A12" s="60"/>
      <c r="B12" s="111" t="s">
        <v>25</v>
      </c>
      <c r="C12" s="111"/>
      <c r="D12" s="111"/>
      <c r="E12" s="50"/>
      <c r="F12" s="50">
        <f>SUM($F4:$F11)</f>
        <v>294250</v>
      </c>
      <c r="G12" s="51">
        <f>SUM($G4:$G11)</f>
        <v>0.8949200855134883</v>
      </c>
      <c r="H12" s="48">
        <f>SUM(H4:H11)</f>
        <v>-15782</v>
      </c>
      <c r="I12" s="63"/>
      <c r="J12" s="109" t="s">
        <v>249</v>
      </c>
      <c r="K12" s="109"/>
      <c r="L12" s="80">
        <v>0</v>
      </c>
      <c r="M12" s="71"/>
      <c r="N12" s="60"/>
      <c r="O12" s="60"/>
    </row>
    <row r="13" spans="1:15" ht="11.25">
      <c r="A13" s="60"/>
      <c r="B13" s="104" t="s">
        <v>242</v>
      </c>
      <c r="C13" s="104"/>
      <c r="D13" s="48"/>
      <c r="E13" s="48"/>
      <c r="F13" s="48">
        <v>18049.418276872442</v>
      </c>
      <c r="G13" s="62"/>
      <c r="H13" s="62"/>
      <c r="I13" s="63"/>
      <c r="J13" s="108" t="s">
        <v>254</v>
      </c>
      <c r="K13" s="108"/>
      <c r="L13" s="87">
        <v>-30000</v>
      </c>
      <c r="M13" s="60"/>
      <c r="N13" s="94">
        <v>38014</v>
      </c>
      <c r="O13" s="60"/>
    </row>
    <row r="14" spans="1:15" ht="11.25">
      <c r="A14" s="60"/>
      <c r="B14" s="52" t="s">
        <v>13</v>
      </c>
      <c r="C14" s="52"/>
      <c r="D14" s="48"/>
      <c r="E14" s="48"/>
      <c r="F14" s="48">
        <v>0</v>
      </c>
      <c r="G14" s="62"/>
      <c r="H14" s="62"/>
      <c r="I14" s="63"/>
      <c r="J14" s="109" t="s">
        <v>248</v>
      </c>
      <c r="K14" s="109"/>
      <c r="L14" s="80">
        <v>0</v>
      </c>
      <c r="M14" s="60"/>
      <c r="N14" s="60"/>
      <c r="O14" s="60"/>
    </row>
    <row r="15" spans="1:15" ht="11.25">
      <c r="A15" s="60"/>
      <c r="B15" s="104" t="s">
        <v>26</v>
      </c>
      <c r="C15" s="104"/>
      <c r="D15" s="48"/>
      <c r="E15" s="48"/>
      <c r="F15" s="48">
        <v>16500.89</v>
      </c>
      <c r="G15" s="62"/>
      <c r="H15" s="62"/>
      <c r="I15" s="63"/>
      <c r="J15" s="110" t="s">
        <v>247</v>
      </c>
      <c r="K15" s="110"/>
      <c r="L15" s="86">
        <f>SUM(L8:L10,L12,L14)</f>
        <v>32746.505000000092</v>
      </c>
      <c r="M15" s="60"/>
      <c r="N15" s="60"/>
      <c r="O15" s="60"/>
    </row>
    <row r="16" spans="1:15" ht="11.25">
      <c r="A16" s="60"/>
      <c r="B16" s="52" t="s">
        <v>102</v>
      </c>
      <c r="C16" s="52"/>
      <c r="D16" s="48"/>
      <c r="E16" s="48"/>
      <c r="F16" s="48">
        <v>0</v>
      </c>
      <c r="G16" s="62"/>
      <c r="H16" s="62"/>
      <c r="I16" s="63"/>
      <c r="J16" s="55" t="s">
        <v>203</v>
      </c>
      <c r="K16" s="55"/>
      <c r="L16" s="50">
        <v>98470.20827687244</v>
      </c>
      <c r="M16" s="60"/>
      <c r="N16" s="60"/>
      <c r="O16" s="60"/>
    </row>
    <row r="17" spans="1:15" ht="11.25">
      <c r="A17" s="60"/>
      <c r="B17" s="104" t="s">
        <v>89</v>
      </c>
      <c r="C17" s="104"/>
      <c r="D17" s="48"/>
      <c r="E17" s="48"/>
      <c r="F17" s="48">
        <v>0</v>
      </c>
      <c r="G17" s="62"/>
      <c r="H17" s="62"/>
      <c r="I17" s="63"/>
      <c r="J17" s="98" t="s">
        <v>118</v>
      </c>
      <c r="K17" s="98"/>
      <c r="L17" s="99">
        <f>SUM($L15:$L16)</f>
        <v>131216.71327687253</v>
      </c>
      <c r="M17" s="60"/>
      <c r="N17" s="60"/>
      <c r="O17" s="60"/>
    </row>
    <row r="18" spans="1:15" ht="13.5">
      <c r="A18" s="60"/>
      <c r="B18" s="105" t="s">
        <v>243</v>
      </c>
      <c r="C18" s="105"/>
      <c r="D18" s="105"/>
      <c r="E18" s="53"/>
      <c r="F18" s="50">
        <f>SUM($F13:$F17)</f>
        <v>34550.30827687244</v>
      </c>
      <c r="G18" s="51">
        <f>$F18/$F19</f>
        <v>0.1050799144865117</v>
      </c>
      <c r="H18" s="57">
        <f>H1+3</f>
        <v>38015</v>
      </c>
      <c r="I18" s="63"/>
      <c r="J18" s="106" t="s">
        <v>117</v>
      </c>
      <c r="K18" s="106"/>
      <c r="L18" s="85">
        <f>$F19+$L15+$L11+$L13</f>
        <v>331546.8132768725</v>
      </c>
      <c r="M18" s="60"/>
      <c r="N18" s="60"/>
      <c r="O18" s="60"/>
    </row>
    <row r="19" spans="1:15" ht="13.5">
      <c r="A19" s="60"/>
      <c r="B19" s="107" t="s">
        <v>15</v>
      </c>
      <c r="C19" s="107"/>
      <c r="D19" s="107"/>
      <c r="E19" s="54"/>
      <c r="F19" s="74">
        <f>SUM($F12,$F18)</f>
        <v>328800.30827687244</v>
      </c>
      <c r="G19" s="56">
        <f>SUM($G12,$G18)</f>
        <v>1</v>
      </c>
      <c r="H19" s="66"/>
      <c r="I19" s="63"/>
      <c r="J19" s="60"/>
      <c r="K19" s="60"/>
      <c r="L19" s="60"/>
      <c r="M19" s="60"/>
      <c r="N19" s="60"/>
      <c r="O19" s="60"/>
    </row>
    <row r="20" spans="1:15" ht="11.25">
      <c r="A20" s="60"/>
      <c r="B20" s="60"/>
      <c r="C20" s="60"/>
      <c r="D20" s="60"/>
      <c r="E20" s="60"/>
      <c r="F20" s="60"/>
      <c r="G20" s="66"/>
      <c r="H20" s="67"/>
      <c r="I20" s="63"/>
      <c r="J20" s="60"/>
      <c r="K20" s="60"/>
      <c r="L20" s="60"/>
      <c r="M20" s="60"/>
      <c r="N20" s="60"/>
      <c r="O20" s="60"/>
    </row>
    <row r="21" spans="1:15" ht="15.75">
      <c r="A21" s="60"/>
      <c r="B21" s="75"/>
      <c r="C21" s="75"/>
      <c r="D21" s="75"/>
      <c r="E21" s="76"/>
      <c r="F21" s="63"/>
      <c r="G21" s="77" t="s">
        <v>258</v>
      </c>
      <c r="H21" s="112">
        <v>38013</v>
      </c>
      <c r="I21" s="112"/>
      <c r="J21" s="112"/>
      <c r="K21" s="60"/>
      <c r="L21" s="60"/>
      <c r="M21" s="60"/>
      <c r="N21" s="60"/>
      <c r="O21" s="60"/>
    </row>
    <row r="22" spans="1:15" ht="11.25">
      <c r="A22" s="61"/>
      <c r="B22" s="113" t="s">
        <v>250</v>
      </c>
      <c r="C22" s="113"/>
      <c r="D22" s="113"/>
      <c r="E22" s="113"/>
      <c r="F22" s="113"/>
      <c r="G22" s="113"/>
      <c r="H22" s="113"/>
      <c r="I22" s="64"/>
      <c r="J22" s="68" t="s">
        <v>252</v>
      </c>
      <c r="K22" s="68"/>
      <c r="L22" s="47">
        <v>18629.480852921093</v>
      </c>
      <c r="M22" s="72"/>
      <c r="N22" s="73"/>
      <c r="O22" s="61"/>
    </row>
    <row r="23" spans="1:15" ht="11.25">
      <c r="A23" s="60"/>
      <c r="B23" s="45" t="s">
        <v>2</v>
      </c>
      <c r="C23" s="45" t="s">
        <v>4</v>
      </c>
      <c r="D23" s="45" t="s">
        <v>9</v>
      </c>
      <c r="E23" s="45" t="s">
        <v>10</v>
      </c>
      <c r="F23" s="45" t="s">
        <v>11</v>
      </c>
      <c r="G23" s="45" t="s">
        <v>12</v>
      </c>
      <c r="H23" s="45" t="s">
        <v>240</v>
      </c>
      <c r="I23" s="63"/>
      <c r="J23" s="68" t="s">
        <v>255</v>
      </c>
      <c r="K23" s="68"/>
      <c r="L23" s="81">
        <v>0</v>
      </c>
      <c r="M23" s="59" t="s">
        <v>251</v>
      </c>
      <c r="N23" s="83">
        <v>0</v>
      </c>
      <c r="O23" s="60"/>
    </row>
    <row r="24" spans="1:15" ht="11.25">
      <c r="A24" s="60"/>
      <c r="B24" s="46" t="s">
        <v>208</v>
      </c>
      <c r="C24" s="47">
        <v>300</v>
      </c>
      <c r="D24" s="48">
        <v>28.5</v>
      </c>
      <c r="E24" s="48">
        <v>26</v>
      </c>
      <c r="F24" s="48">
        <f aca="true" t="shared" si="3" ref="F24:F31">$C24*$E24</f>
        <v>7800</v>
      </c>
      <c r="G24" s="49">
        <f>$F24/F$19</f>
        <v>0.023722605495344804</v>
      </c>
      <c r="H24" s="48">
        <f aca="true" t="shared" si="4" ref="H24:H31">$F24-($C24*$D24)</f>
        <v>-750</v>
      </c>
      <c r="I24" s="65"/>
      <c r="J24" s="68" t="s">
        <v>256</v>
      </c>
      <c r="K24" s="68"/>
      <c r="L24" s="81">
        <v>0</v>
      </c>
      <c r="M24" s="59" t="s">
        <v>251</v>
      </c>
      <c r="N24" s="97">
        <v>0</v>
      </c>
      <c r="O24" s="60"/>
    </row>
    <row r="25" spans="1:15" ht="11.25">
      <c r="A25" s="60"/>
      <c r="B25" s="46" t="s">
        <v>318</v>
      </c>
      <c r="C25" s="47">
        <v>300</v>
      </c>
      <c r="D25" s="48">
        <v>103.3</v>
      </c>
      <c r="E25" s="48">
        <v>102</v>
      </c>
      <c r="F25" s="48">
        <f t="shared" si="3"/>
        <v>30600</v>
      </c>
      <c r="G25" s="49">
        <f aca="true" t="shared" si="5" ref="G25:G31">$F25/F$19</f>
        <v>0.093065606174045</v>
      </c>
      <c r="H25" s="48">
        <f t="shared" si="4"/>
        <v>-390</v>
      </c>
      <c r="I25" s="63"/>
      <c r="J25" s="78" t="s">
        <v>275</v>
      </c>
      <c r="K25" s="79"/>
      <c r="L25" s="82">
        <f>$L22-$L23+$L24</f>
        <v>18629.480852921093</v>
      </c>
      <c r="M25" s="60"/>
      <c r="N25" s="60"/>
      <c r="O25" s="60"/>
    </row>
    <row r="26" spans="1:15" ht="11.25">
      <c r="A26" s="60"/>
      <c r="B26" s="46" t="s">
        <v>323</v>
      </c>
      <c r="C26" s="47">
        <v>2000</v>
      </c>
      <c r="D26" s="48">
        <v>12</v>
      </c>
      <c r="E26" s="48">
        <v>11.9</v>
      </c>
      <c r="F26" s="48">
        <f t="shared" si="3"/>
        <v>23800</v>
      </c>
      <c r="G26" s="49">
        <f t="shared" si="5"/>
        <v>0.07238436035759056</v>
      </c>
      <c r="H26" s="48">
        <f t="shared" si="4"/>
        <v>-200</v>
      </c>
      <c r="I26" s="65"/>
      <c r="J26" s="114" t="s">
        <v>24</v>
      </c>
      <c r="K26" s="114"/>
      <c r="L26" s="84">
        <f>$F39/$L25</f>
        <v>17.71776523901992</v>
      </c>
      <c r="M26" s="60"/>
      <c r="N26" s="60"/>
      <c r="O26" s="60"/>
    </row>
    <row r="27" spans="1:15" ht="11.25">
      <c r="A27" s="60"/>
      <c r="B27" s="46" t="s">
        <v>200</v>
      </c>
      <c r="C27" s="47">
        <v>12000</v>
      </c>
      <c r="D27" s="48">
        <v>4.18</v>
      </c>
      <c r="E27" s="48">
        <v>3.86</v>
      </c>
      <c r="F27" s="48">
        <f t="shared" si="3"/>
        <v>46320</v>
      </c>
      <c r="G27" s="49">
        <f t="shared" si="5"/>
        <v>0.14087578032620146</v>
      </c>
      <c r="H27" s="48">
        <f t="shared" si="4"/>
        <v>-3840</v>
      </c>
      <c r="I27" s="63"/>
      <c r="J27" s="115" t="s">
        <v>241</v>
      </c>
      <c r="K27" s="115"/>
      <c r="L27" s="115"/>
      <c r="M27" s="60"/>
      <c r="N27" s="60"/>
      <c r="O27" s="60"/>
    </row>
    <row r="28" spans="1:15" ht="11.25">
      <c r="A28" s="60"/>
      <c r="B28" s="46" t="s">
        <v>334</v>
      </c>
      <c r="C28" s="47">
        <v>5000</v>
      </c>
      <c r="D28" s="48">
        <v>18.4</v>
      </c>
      <c r="E28" s="48">
        <v>17.9</v>
      </c>
      <c r="F28" s="48">
        <f t="shared" si="3"/>
        <v>89500</v>
      </c>
      <c r="G28" s="49">
        <f t="shared" si="5"/>
        <v>0.27220169126068716</v>
      </c>
      <c r="H28" s="48">
        <f t="shared" si="4"/>
        <v>-2500</v>
      </c>
      <c r="I28" s="63"/>
      <c r="J28" s="69" t="s">
        <v>246</v>
      </c>
      <c r="K28" s="70"/>
      <c r="L28" s="100">
        <v>32746.505000000092</v>
      </c>
      <c r="M28" s="60"/>
      <c r="N28" s="60"/>
      <c r="O28" s="60"/>
    </row>
    <row r="29" spans="1:15" ht="11.25">
      <c r="A29" s="60"/>
      <c r="B29" s="46" t="s">
        <v>322</v>
      </c>
      <c r="C29" s="47">
        <v>1800</v>
      </c>
      <c r="D29" s="48">
        <v>3.74</v>
      </c>
      <c r="E29" s="48">
        <v>3.62</v>
      </c>
      <c r="F29" s="48">
        <f t="shared" si="3"/>
        <v>6516</v>
      </c>
      <c r="G29" s="49">
        <f t="shared" si="5"/>
        <v>0.019817499667649584</v>
      </c>
      <c r="H29" s="48">
        <f t="shared" si="4"/>
        <v>-216</v>
      </c>
      <c r="I29" s="65"/>
      <c r="J29" s="109" t="s">
        <v>244</v>
      </c>
      <c r="K29" s="109"/>
      <c r="L29" s="80">
        <v>-500</v>
      </c>
      <c r="M29" s="60"/>
      <c r="N29" s="60"/>
      <c r="O29" s="60"/>
    </row>
    <row r="30" spans="1:15" ht="11.25">
      <c r="A30" s="60"/>
      <c r="B30" s="46" t="s">
        <v>337</v>
      </c>
      <c r="C30" s="47">
        <v>1000</v>
      </c>
      <c r="D30" s="48">
        <v>14.5</v>
      </c>
      <c r="E30" s="48">
        <v>14.3</v>
      </c>
      <c r="F30" s="48">
        <f t="shared" si="3"/>
        <v>14300</v>
      </c>
      <c r="G30" s="49">
        <f t="shared" si="5"/>
        <v>0.043491443408132144</v>
      </c>
      <c r="H30" s="48">
        <f t="shared" si="4"/>
        <v>-200</v>
      </c>
      <c r="I30" s="63"/>
      <c r="J30" s="109" t="s">
        <v>245</v>
      </c>
      <c r="K30" s="109"/>
      <c r="L30" s="80">
        <v>0</v>
      </c>
      <c r="M30" s="60"/>
      <c r="N30" s="60"/>
      <c r="O30" s="60"/>
    </row>
    <row r="31" spans="1:15" ht="11.25">
      <c r="A31" s="60"/>
      <c r="B31" s="46" t="s">
        <v>339</v>
      </c>
      <c r="C31" s="47">
        <v>2000</v>
      </c>
      <c r="D31" s="48">
        <v>13</v>
      </c>
      <c r="E31" s="48">
        <v>13</v>
      </c>
      <c r="F31" s="48">
        <f t="shared" si="3"/>
        <v>26000</v>
      </c>
      <c r="G31" s="49">
        <f t="shared" si="5"/>
        <v>0.07907535165114934</v>
      </c>
      <c r="H31" s="48">
        <f t="shared" si="4"/>
        <v>0</v>
      </c>
      <c r="I31" s="65"/>
      <c r="J31" s="108" t="s">
        <v>253</v>
      </c>
      <c r="K31" s="108"/>
      <c r="L31" s="87">
        <f>$L23*$N23</f>
        <v>0</v>
      </c>
      <c r="M31" s="60"/>
      <c r="N31" s="58"/>
      <c r="O31" s="60"/>
    </row>
    <row r="32" spans="1:15" ht="11.25">
      <c r="A32" s="60"/>
      <c r="B32" s="111" t="s">
        <v>25</v>
      </c>
      <c r="C32" s="111"/>
      <c r="D32" s="111"/>
      <c r="E32" s="50"/>
      <c r="F32" s="50">
        <f>SUM($F24:$F31)</f>
        <v>244836</v>
      </c>
      <c r="G32" s="51">
        <f>SUM($G24:$G31)</f>
        <v>0.7446343383408</v>
      </c>
      <c r="H32" s="48">
        <f>SUM(H24:H31)</f>
        <v>-8096</v>
      </c>
      <c r="I32" s="63"/>
      <c r="J32" s="109" t="s">
        <v>249</v>
      </c>
      <c r="K32" s="109"/>
      <c r="L32" s="80">
        <v>0</v>
      </c>
      <c r="M32" s="71"/>
      <c r="N32" s="60"/>
      <c r="O32" s="60"/>
    </row>
    <row r="33" spans="1:15" ht="11.25">
      <c r="A33" s="60"/>
      <c r="B33" s="104" t="s">
        <v>242</v>
      </c>
      <c r="C33" s="104"/>
      <c r="D33" s="48"/>
      <c r="E33" s="48"/>
      <c r="F33" s="48">
        <v>34550.30827687244</v>
      </c>
      <c r="G33" s="62"/>
      <c r="H33" s="62"/>
      <c r="I33" s="63"/>
      <c r="J33" s="108" t="s">
        <v>254</v>
      </c>
      <c r="K33" s="108"/>
      <c r="L33" s="87">
        <v>-30000</v>
      </c>
      <c r="M33" s="60"/>
      <c r="N33" s="94">
        <v>38014</v>
      </c>
      <c r="O33" s="60"/>
    </row>
    <row r="34" spans="1:15" ht="11.25">
      <c r="A34" s="60"/>
      <c r="B34" s="52" t="s">
        <v>13</v>
      </c>
      <c r="C34" s="52"/>
      <c r="D34" s="48"/>
      <c r="E34" s="48"/>
      <c r="F34" s="48">
        <v>0</v>
      </c>
      <c r="G34" s="62"/>
      <c r="H34" s="62"/>
      <c r="I34" s="63"/>
      <c r="J34" s="109" t="s">
        <v>248</v>
      </c>
      <c r="K34" s="109"/>
      <c r="L34" s="80">
        <v>0</v>
      </c>
      <c r="M34" s="60"/>
      <c r="N34" s="60"/>
      <c r="O34" s="60"/>
    </row>
    <row r="35" spans="1:15" ht="11.25">
      <c r="A35" s="60"/>
      <c r="B35" s="104" t="s">
        <v>26</v>
      </c>
      <c r="C35" s="104"/>
      <c r="D35" s="48"/>
      <c r="E35" s="48"/>
      <c r="F35" s="48">
        <v>50686.46</v>
      </c>
      <c r="G35" s="62"/>
      <c r="H35" s="62"/>
      <c r="I35" s="63"/>
      <c r="J35" s="110" t="s">
        <v>247</v>
      </c>
      <c r="K35" s="110"/>
      <c r="L35" s="86">
        <f>SUM(L28:L30,L32,L34)</f>
        <v>32246.505000000092</v>
      </c>
      <c r="M35" s="60"/>
      <c r="N35" s="60"/>
      <c r="O35" s="60"/>
    </row>
    <row r="36" spans="1:16" ht="11.25">
      <c r="A36" s="60"/>
      <c r="B36" s="52" t="s">
        <v>102</v>
      </c>
      <c r="C36" s="52"/>
      <c r="D36" s="48"/>
      <c r="E36" s="48"/>
      <c r="F36" s="48">
        <v>0</v>
      </c>
      <c r="G36" s="62"/>
      <c r="H36" s="62"/>
      <c r="I36" s="63"/>
      <c r="J36" s="55" t="s">
        <v>203</v>
      </c>
      <c r="K36" s="55"/>
      <c r="L36" s="50">
        <v>68903.86827687244</v>
      </c>
      <c r="M36" s="60"/>
      <c r="N36" s="60"/>
      <c r="O36" s="60"/>
      <c r="P36" s="9"/>
    </row>
    <row r="37" spans="1:15" ht="11.25">
      <c r="A37" s="60"/>
      <c r="B37" s="104" t="s">
        <v>89</v>
      </c>
      <c r="C37" s="104"/>
      <c r="D37" s="48"/>
      <c r="E37" s="48"/>
      <c r="F37" s="48">
        <v>0</v>
      </c>
      <c r="G37" s="62"/>
      <c r="H37" s="62"/>
      <c r="I37" s="63"/>
      <c r="J37" s="98" t="s">
        <v>118</v>
      </c>
      <c r="K37" s="98"/>
      <c r="L37" s="99">
        <f>SUM($L35:$L36)</f>
        <v>101150.37327687253</v>
      </c>
      <c r="M37" s="60"/>
      <c r="N37" s="60"/>
      <c r="O37" s="60"/>
    </row>
    <row r="38" spans="1:15" ht="13.5">
      <c r="A38" s="60"/>
      <c r="B38" s="105" t="s">
        <v>243</v>
      </c>
      <c r="C38" s="105"/>
      <c r="D38" s="105"/>
      <c r="E38" s="53"/>
      <c r="F38" s="50">
        <f>SUM($F33:$F37)</f>
        <v>85236.76827687243</v>
      </c>
      <c r="G38" s="51">
        <f>$F38/$F39</f>
        <v>0.2582362935356543</v>
      </c>
      <c r="H38" s="57">
        <f>H21+3</f>
        <v>38016</v>
      </c>
      <c r="I38" s="63"/>
      <c r="J38" s="106" t="s">
        <v>117</v>
      </c>
      <c r="K38" s="106"/>
      <c r="L38" s="85">
        <f>$F39+$L35+$L31+$L33</f>
        <v>332319.2732768726</v>
      </c>
      <c r="M38" s="60"/>
      <c r="N38" s="60"/>
      <c r="O38" s="60"/>
    </row>
    <row r="39" spans="1:15" ht="13.5">
      <c r="A39" s="60"/>
      <c r="B39" s="107" t="s">
        <v>15</v>
      </c>
      <c r="C39" s="107"/>
      <c r="D39" s="107"/>
      <c r="E39" s="54"/>
      <c r="F39" s="74">
        <f>SUM($F32,$F38)</f>
        <v>330072.76827687246</v>
      </c>
      <c r="G39" s="56">
        <f>SUM($G32,$G38)</f>
        <v>1.0028706318764542</v>
      </c>
      <c r="H39" s="66"/>
      <c r="I39" s="63"/>
      <c r="J39" s="60"/>
      <c r="K39" s="60"/>
      <c r="L39" s="60"/>
      <c r="M39" s="60"/>
      <c r="N39" s="60"/>
      <c r="O39" s="60"/>
    </row>
    <row r="40" spans="1:15" ht="11.25">
      <c r="A40" s="60"/>
      <c r="B40" s="60"/>
      <c r="C40" s="60"/>
      <c r="D40" s="60"/>
      <c r="E40" s="60"/>
      <c r="F40" s="60"/>
      <c r="G40" s="66"/>
      <c r="H40" s="67"/>
      <c r="I40" s="63"/>
      <c r="J40" s="60"/>
      <c r="K40" s="60"/>
      <c r="L40" s="60"/>
      <c r="M40" s="60"/>
      <c r="N40" s="60"/>
      <c r="O40" s="60"/>
    </row>
    <row r="41" spans="1:15" ht="15.75">
      <c r="A41" s="60"/>
      <c r="B41" s="75"/>
      <c r="C41" s="75"/>
      <c r="D41" s="75"/>
      <c r="E41" s="76"/>
      <c r="F41" s="63"/>
      <c r="G41" s="77" t="s">
        <v>233</v>
      </c>
      <c r="H41" s="112">
        <v>38014</v>
      </c>
      <c r="I41" s="112"/>
      <c r="J41" s="112"/>
      <c r="K41" s="60"/>
      <c r="L41" s="60"/>
      <c r="M41" s="60"/>
      <c r="N41" s="60"/>
      <c r="O41" s="60"/>
    </row>
    <row r="42" spans="1:15" ht="11.25">
      <c r="A42" s="61"/>
      <c r="B42" s="113" t="s">
        <v>250</v>
      </c>
      <c r="C42" s="113"/>
      <c r="D42" s="113"/>
      <c r="E42" s="113"/>
      <c r="F42" s="113"/>
      <c r="G42" s="113"/>
      <c r="H42" s="113"/>
      <c r="I42" s="64"/>
      <c r="J42" s="68" t="s">
        <v>252</v>
      </c>
      <c r="K42" s="68"/>
      <c r="L42" s="47">
        <v>18629.480852921093</v>
      </c>
      <c r="M42" s="72"/>
      <c r="N42" s="73"/>
      <c r="O42" s="61"/>
    </row>
    <row r="43" spans="1:15" ht="11.25">
      <c r="A43" s="60"/>
      <c r="B43" s="45" t="s">
        <v>2</v>
      </c>
      <c r="C43" s="45" t="s">
        <v>4</v>
      </c>
      <c r="D43" s="45" t="s">
        <v>9</v>
      </c>
      <c r="E43" s="45" t="s">
        <v>10</v>
      </c>
      <c r="F43" s="45" t="s">
        <v>11</v>
      </c>
      <c r="G43" s="45" t="s">
        <v>12</v>
      </c>
      <c r="H43" s="45" t="s">
        <v>240</v>
      </c>
      <c r="I43" s="63"/>
      <c r="J43" s="68" t="s">
        <v>255</v>
      </c>
      <c r="K43" s="68"/>
      <c r="L43" s="81">
        <v>0</v>
      </c>
      <c r="M43" s="59" t="s">
        <v>251</v>
      </c>
      <c r="N43" s="83">
        <v>0</v>
      </c>
      <c r="O43" s="60"/>
    </row>
    <row r="44" spans="1:15" ht="11.25">
      <c r="A44" s="60"/>
      <c r="B44" s="46" t="s">
        <v>208</v>
      </c>
      <c r="C44" s="47">
        <v>300</v>
      </c>
      <c r="D44" s="48">
        <v>28.5</v>
      </c>
      <c r="E44" s="48">
        <v>26</v>
      </c>
      <c r="F44" s="48">
        <f aca="true" t="shared" si="6" ref="F44:F50">$C44*$E44</f>
        <v>7800</v>
      </c>
      <c r="G44" s="49">
        <f>$F44/F$19</f>
        <v>0.023722605495344804</v>
      </c>
      <c r="H44" s="48">
        <f aca="true" t="shared" si="7" ref="H44:H50">$F44-($C44*$D44)</f>
        <v>-750</v>
      </c>
      <c r="I44" s="65"/>
      <c r="J44" s="68" t="s">
        <v>256</v>
      </c>
      <c r="K44" s="68"/>
      <c r="L44" s="81">
        <v>0</v>
      </c>
      <c r="M44" s="59" t="s">
        <v>251</v>
      </c>
      <c r="N44" s="97">
        <v>0</v>
      </c>
      <c r="O44" s="60"/>
    </row>
    <row r="45" spans="1:15" ht="11.25">
      <c r="A45" s="60"/>
      <c r="B45" s="46" t="s">
        <v>318</v>
      </c>
      <c r="C45" s="47">
        <v>300</v>
      </c>
      <c r="D45" s="48">
        <v>103.3</v>
      </c>
      <c r="E45" s="48">
        <v>100</v>
      </c>
      <c r="F45" s="48">
        <f t="shared" si="6"/>
        <v>30000</v>
      </c>
      <c r="G45" s="49">
        <f aca="true" t="shared" si="8" ref="G45:G50">$F45/F$19</f>
        <v>0.09124079036671079</v>
      </c>
      <c r="H45" s="48">
        <f t="shared" si="7"/>
        <v>-990</v>
      </c>
      <c r="I45" s="63"/>
      <c r="J45" s="78" t="s">
        <v>275</v>
      </c>
      <c r="K45" s="79"/>
      <c r="L45" s="82">
        <f>$L42-$L43+$L44</f>
        <v>18629.480852921093</v>
      </c>
      <c r="M45" s="60"/>
      <c r="N45" s="60"/>
      <c r="O45" s="60"/>
    </row>
    <row r="46" spans="1:15" ht="11.25">
      <c r="A46" s="60"/>
      <c r="B46" s="46" t="s">
        <v>200</v>
      </c>
      <c r="C46" s="47">
        <v>17000</v>
      </c>
      <c r="D46" s="48">
        <v>4.18</v>
      </c>
      <c r="E46" s="48">
        <v>3.76</v>
      </c>
      <c r="F46" s="48">
        <f t="shared" si="6"/>
        <v>63920</v>
      </c>
      <c r="G46" s="49">
        <f t="shared" si="8"/>
        <v>0.19440371067467177</v>
      </c>
      <c r="H46" s="48">
        <f t="shared" si="7"/>
        <v>-7140</v>
      </c>
      <c r="I46" s="65"/>
      <c r="J46" s="114" t="s">
        <v>24</v>
      </c>
      <c r="K46" s="114"/>
      <c r="L46" s="84">
        <f>$F59/$L45</f>
        <v>17.36045683882602</v>
      </c>
      <c r="M46" s="60"/>
      <c r="N46" s="60"/>
      <c r="O46" s="60"/>
    </row>
    <row r="47" spans="1:15" ht="11.25">
      <c r="A47" s="60"/>
      <c r="B47" s="46" t="s">
        <v>334</v>
      </c>
      <c r="C47" s="47">
        <v>4000</v>
      </c>
      <c r="D47" s="48">
        <v>18.4</v>
      </c>
      <c r="E47" s="48">
        <v>17.8</v>
      </c>
      <c r="F47" s="48">
        <f t="shared" si="6"/>
        <v>71200</v>
      </c>
      <c r="G47" s="49">
        <f t="shared" si="8"/>
        <v>0.2165448091369936</v>
      </c>
      <c r="H47" s="48">
        <f t="shared" si="7"/>
        <v>-2400</v>
      </c>
      <c r="I47" s="63"/>
      <c r="J47" s="115" t="s">
        <v>241</v>
      </c>
      <c r="K47" s="115"/>
      <c r="L47" s="115"/>
      <c r="M47" s="60"/>
      <c r="N47" s="60"/>
      <c r="O47" s="60"/>
    </row>
    <row r="48" spans="1:15" ht="11.25">
      <c r="A48" s="60"/>
      <c r="B48" s="46" t="s">
        <v>322</v>
      </c>
      <c r="C48" s="47">
        <v>6800</v>
      </c>
      <c r="D48" s="48">
        <v>3.74</v>
      </c>
      <c r="E48" s="48">
        <v>3.48</v>
      </c>
      <c r="F48" s="48">
        <f t="shared" si="6"/>
        <v>23664</v>
      </c>
      <c r="G48" s="49">
        <f t="shared" si="8"/>
        <v>0.07197073544126147</v>
      </c>
      <c r="H48" s="48">
        <f t="shared" si="7"/>
        <v>-1768</v>
      </c>
      <c r="I48" s="63"/>
      <c r="J48" s="69" t="s">
        <v>246</v>
      </c>
      <c r="K48" s="70"/>
      <c r="L48" s="100">
        <v>32246.505000000092</v>
      </c>
      <c r="M48" s="60"/>
      <c r="N48" s="60"/>
      <c r="O48" s="60"/>
    </row>
    <row r="49" spans="1:15" ht="11.25">
      <c r="A49" s="60"/>
      <c r="B49" s="46" t="s">
        <v>337</v>
      </c>
      <c r="C49" s="47">
        <v>1000</v>
      </c>
      <c r="D49" s="48">
        <v>14.5</v>
      </c>
      <c r="E49" s="48">
        <v>13.8</v>
      </c>
      <c r="F49" s="48">
        <f t="shared" si="6"/>
        <v>13800</v>
      </c>
      <c r="G49" s="49">
        <f t="shared" si="8"/>
        <v>0.04197076356868696</v>
      </c>
      <c r="H49" s="48">
        <f t="shared" si="7"/>
        <v>-700</v>
      </c>
      <c r="I49" s="65"/>
      <c r="J49" s="109" t="s">
        <v>244</v>
      </c>
      <c r="K49" s="109"/>
      <c r="L49" s="80">
        <v>0</v>
      </c>
      <c r="M49" s="60"/>
      <c r="N49" s="60"/>
      <c r="O49" s="60"/>
    </row>
    <row r="50" spans="1:15" ht="11.25">
      <c r="A50" s="60"/>
      <c r="B50" s="46" t="s">
        <v>339</v>
      </c>
      <c r="C50" s="47">
        <v>2000</v>
      </c>
      <c r="D50" s="48">
        <v>13</v>
      </c>
      <c r="E50" s="48">
        <v>13</v>
      </c>
      <c r="F50" s="48">
        <f t="shared" si="6"/>
        <v>26000</v>
      </c>
      <c r="G50" s="49">
        <f t="shared" si="8"/>
        <v>0.07907535165114934</v>
      </c>
      <c r="H50" s="48">
        <f t="shared" si="7"/>
        <v>0</v>
      </c>
      <c r="I50" s="63"/>
      <c r="J50" s="109" t="s">
        <v>245</v>
      </c>
      <c r="K50" s="109"/>
      <c r="L50" s="80">
        <v>0</v>
      </c>
      <c r="M50" s="60"/>
      <c r="N50" s="60"/>
      <c r="O50" s="60"/>
    </row>
    <row r="51" spans="1:15" ht="11.25">
      <c r="A51" s="60"/>
      <c r="B51" s="46"/>
      <c r="C51" s="47"/>
      <c r="D51" s="48"/>
      <c r="E51" s="48"/>
      <c r="F51" s="48"/>
      <c r="G51" s="49"/>
      <c r="H51" s="48"/>
      <c r="I51" s="65"/>
      <c r="J51" s="108" t="s">
        <v>253</v>
      </c>
      <c r="K51" s="108"/>
      <c r="L51" s="87">
        <f>$L43*$N43</f>
        <v>0</v>
      </c>
      <c r="M51" s="60"/>
      <c r="N51" s="58"/>
      <c r="O51" s="60"/>
    </row>
    <row r="52" spans="1:15" ht="11.25">
      <c r="A52" s="60"/>
      <c r="B52" s="111" t="s">
        <v>25</v>
      </c>
      <c r="C52" s="111"/>
      <c r="D52" s="111"/>
      <c r="E52" s="50"/>
      <c r="F52" s="50">
        <f>SUM($F44:$F51)</f>
        <v>236384</v>
      </c>
      <c r="G52" s="51">
        <f>SUM($G44:$G51)</f>
        <v>0.7189287663348187</v>
      </c>
      <c r="H52" s="48">
        <f>SUM(H44:H51)</f>
        <v>-13748</v>
      </c>
      <c r="I52" s="63"/>
      <c r="J52" s="109" t="s">
        <v>249</v>
      </c>
      <c r="K52" s="109"/>
      <c r="L52" s="80">
        <v>0</v>
      </c>
      <c r="M52" s="71"/>
      <c r="N52" s="60"/>
      <c r="O52" s="60"/>
    </row>
    <row r="53" spans="1:15" ht="11.25">
      <c r="A53" s="60"/>
      <c r="B53" s="104" t="s">
        <v>242</v>
      </c>
      <c r="C53" s="104"/>
      <c r="D53" s="48"/>
      <c r="E53" s="48"/>
      <c r="F53" s="48">
        <v>85236.76827687243</v>
      </c>
      <c r="G53" s="62"/>
      <c r="H53" s="62"/>
      <c r="I53" s="63"/>
      <c r="J53" s="108" t="s">
        <v>254</v>
      </c>
      <c r="K53" s="108"/>
      <c r="L53" s="87">
        <v>0</v>
      </c>
      <c r="M53" s="60"/>
      <c r="N53" s="94"/>
      <c r="O53" s="60"/>
    </row>
    <row r="54" spans="1:15" ht="11.25">
      <c r="A54" s="60"/>
      <c r="B54" s="52" t="s">
        <v>13</v>
      </c>
      <c r="C54" s="52"/>
      <c r="D54" s="48"/>
      <c r="E54" s="48"/>
      <c r="F54" s="48">
        <v>0</v>
      </c>
      <c r="G54" s="62"/>
      <c r="H54" s="62"/>
      <c r="I54" s="63"/>
      <c r="J54" s="109" t="s">
        <v>248</v>
      </c>
      <c r="K54" s="109"/>
      <c r="L54" s="80">
        <v>-30000</v>
      </c>
      <c r="M54" s="60"/>
      <c r="N54" s="60"/>
      <c r="O54" s="60"/>
    </row>
    <row r="55" spans="1:15" ht="11.25">
      <c r="A55" s="60"/>
      <c r="B55" s="104" t="s">
        <v>26</v>
      </c>
      <c r="C55" s="104"/>
      <c r="D55" s="48"/>
      <c r="E55" s="48"/>
      <c r="F55" s="48">
        <v>1795.53</v>
      </c>
      <c r="G55" s="62"/>
      <c r="H55" s="62"/>
      <c r="I55" s="63"/>
      <c r="J55" s="110" t="s">
        <v>247</v>
      </c>
      <c r="K55" s="110"/>
      <c r="L55" s="86">
        <f>SUM(L48:L50,L52,L54)</f>
        <v>2246.505000000092</v>
      </c>
      <c r="M55" s="60"/>
      <c r="N55" s="60"/>
      <c r="O55" s="60"/>
    </row>
    <row r="56" spans="1:15" ht="11.25">
      <c r="A56" s="60"/>
      <c r="B56" s="52" t="s">
        <v>102</v>
      </c>
      <c r="C56" s="52"/>
      <c r="D56" s="48"/>
      <c r="E56" s="48"/>
      <c r="F56" s="48">
        <v>0</v>
      </c>
      <c r="G56" s="62"/>
      <c r="H56" s="62"/>
      <c r="I56" s="63"/>
      <c r="J56" s="55" t="s">
        <v>203</v>
      </c>
      <c r="K56" s="55"/>
      <c r="L56" s="50">
        <v>18049.418276872442</v>
      </c>
      <c r="M56" s="60"/>
      <c r="N56" s="60"/>
      <c r="O56" s="60"/>
    </row>
    <row r="57" spans="1:15" ht="11.25">
      <c r="A57" s="60"/>
      <c r="B57" s="104" t="s">
        <v>89</v>
      </c>
      <c r="C57" s="104"/>
      <c r="D57" s="48"/>
      <c r="E57" s="48"/>
      <c r="F57" s="48">
        <v>0</v>
      </c>
      <c r="G57" s="62"/>
      <c r="H57" s="62"/>
      <c r="I57" s="63"/>
      <c r="J57" s="98" t="s">
        <v>118</v>
      </c>
      <c r="K57" s="98"/>
      <c r="L57" s="99">
        <f>SUM($L55:$L56)</f>
        <v>20295.923276872534</v>
      </c>
      <c r="M57" s="60"/>
      <c r="N57" s="60"/>
      <c r="O57" s="60"/>
    </row>
    <row r="58" spans="1:15" ht="13.5">
      <c r="A58" s="60"/>
      <c r="B58" s="105" t="s">
        <v>243</v>
      </c>
      <c r="C58" s="105"/>
      <c r="D58" s="105"/>
      <c r="E58" s="53"/>
      <c r="F58" s="50">
        <f>SUM($F53:$F57)</f>
        <v>87032.29827687243</v>
      </c>
      <c r="G58" s="51">
        <f>$F58/$F59</f>
        <v>0.2691030066838661</v>
      </c>
      <c r="H58" s="57">
        <f>H41+5</f>
        <v>38019</v>
      </c>
      <c r="I58" s="63"/>
      <c r="J58" s="106" t="s">
        <v>117</v>
      </c>
      <c r="K58" s="106"/>
      <c r="L58" s="85">
        <f>$F59+$L55+$L51+$L53</f>
        <v>325662.8032768725</v>
      </c>
      <c r="M58" s="60"/>
      <c r="N58" s="60"/>
      <c r="O58" s="60"/>
    </row>
    <row r="59" spans="1:15" ht="13.5">
      <c r="A59" s="60"/>
      <c r="B59" s="107" t="s">
        <v>15</v>
      </c>
      <c r="C59" s="107"/>
      <c r="D59" s="107"/>
      <c r="E59" s="54"/>
      <c r="F59" s="74">
        <f>SUM($F52,$F58)</f>
        <v>323416.29827687243</v>
      </c>
      <c r="G59" s="56">
        <f>SUM($G52,$G58)</f>
        <v>0.9880317730186848</v>
      </c>
      <c r="H59" s="66"/>
      <c r="I59" s="63"/>
      <c r="J59" s="60"/>
      <c r="K59" s="60"/>
      <c r="L59" s="60"/>
      <c r="M59" s="60"/>
      <c r="N59" s="60"/>
      <c r="O59" s="60"/>
    </row>
    <row r="60" spans="1:15" ht="11.25">
      <c r="A60" s="60"/>
      <c r="B60" s="60"/>
      <c r="C60" s="60"/>
      <c r="D60" s="60"/>
      <c r="E60" s="60"/>
      <c r="F60" s="60"/>
      <c r="G60" s="66"/>
      <c r="H60" s="67"/>
      <c r="I60" s="63"/>
      <c r="J60" s="60"/>
      <c r="K60" s="60"/>
      <c r="L60" s="60"/>
      <c r="M60" s="60"/>
      <c r="N60" s="60"/>
      <c r="O60" s="60"/>
    </row>
    <row r="61" spans="1:15" ht="15.75">
      <c r="A61" s="60"/>
      <c r="B61" s="75"/>
      <c r="C61" s="75"/>
      <c r="D61" s="75"/>
      <c r="E61" s="76"/>
      <c r="F61" s="63"/>
      <c r="G61" s="77" t="s">
        <v>235</v>
      </c>
      <c r="H61" s="112">
        <v>38015</v>
      </c>
      <c r="I61" s="112"/>
      <c r="J61" s="112"/>
      <c r="K61" s="60"/>
      <c r="L61" s="60"/>
      <c r="M61" s="60"/>
      <c r="N61" s="60"/>
      <c r="O61" s="60"/>
    </row>
    <row r="62" spans="1:15" ht="11.25">
      <c r="A62" s="61"/>
      <c r="B62" s="113" t="s">
        <v>250</v>
      </c>
      <c r="C62" s="113"/>
      <c r="D62" s="113"/>
      <c r="E62" s="113"/>
      <c r="F62" s="113"/>
      <c r="G62" s="113"/>
      <c r="H62" s="113"/>
      <c r="I62" s="64"/>
      <c r="J62" s="68" t="s">
        <v>252</v>
      </c>
      <c r="K62" s="68"/>
      <c r="L62" s="47">
        <v>18629.480852921093</v>
      </c>
      <c r="M62" s="72"/>
      <c r="N62" s="73"/>
      <c r="O62" s="61"/>
    </row>
    <row r="63" spans="1:15" ht="11.25">
      <c r="A63" s="60"/>
      <c r="B63" s="45" t="s">
        <v>2</v>
      </c>
      <c r="C63" s="45" t="s">
        <v>4</v>
      </c>
      <c r="D63" s="45" t="s">
        <v>9</v>
      </c>
      <c r="E63" s="45" t="s">
        <v>10</v>
      </c>
      <c r="F63" s="45" t="s">
        <v>11</v>
      </c>
      <c r="G63" s="45" t="s">
        <v>12</v>
      </c>
      <c r="H63" s="45" t="s">
        <v>240</v>
      </c>
      <c r="I63" s="63"/>
      <c r="J63" s="68" t="s">
        <v>255</v>
      </c>
      <c r="K63" s="68"/>
      <c r="L63" s="81">
        <v>0</v>
      </c>
      <c r="M63" s="59" t="s">
        <v>251</v>
      </c>
      <c r="N63" s="83">
        <v>0</v>
      </c>
      <c r="O63" s="60"/>
    </row>
    <row r="64" spans="1:15" ht="11.25">
      <c r="A64" s="60"/>
      <c r="B64" s="46" t="s">
        <v>208</v>
      </c>
      <c r="C64" s="47">
        <v>300</v>
      </c>
      <c r="D64" s="48">
        <v>28.5</v>
      </c>
      <c r="E64" s="48">
        <v>26</v>
      </c>
      <c r="F64" s="48">
        <f aca="true" t="shared" si="9" ref="F64:F70">$C64*$E64</f>
        <v>7800</v>
      </c>
      <c r="G64" s="49">
        <f>$F64/F$19</f>
        <v>0.023722605495344804</v>
      </c>
      <c r="H64" s="48">
        <f aca="true" t="shared" si="10" ref="H64:H70">$F64-($C64*$D64)</f>
        <v>-750</v>
      </c>
      <c r="I64" s="65"/>
      <c r="J64" s="68" t="s">
        <v>256</v>
      </c>
      <c r="K64" s="68"/>
      <c r="L64" s="81">
        <v>0</v>
      </c>
      <c r="M64" s="59" t="s">
        <v>251</v>
      </c>
      <c r="N64" s="97">
        <v>0</v>
      </c>
      <c r="O64" s="60"/>
    </row>
    <row r="65" spans="1:15" ht="11.25">
      <c r="A65" s="60"/>
      <c r="B65" s="46" t="s">
        <v>318</v>
      </c>
      <c r="C65" s="47">
        <v>300</v>
      </c>
      <c r="D65" s="48">
        <v>103.3</v>
      </c>
      <c r="E65" s="48">
        <v>101</v>
      </c>
      <c r="F65" s="48">
        <f t="shared" si="9"/>
        <v>30300</v>
      </c>
      <c r="G65" s="49">
        <f aca="true" t="shared" si="11" ref="G65:G70">$F65/F$19</f>
        <v>0.09215319827037789</v>
      </c>
      <c r="H65" s="48">
        <f t="shared" si="10"/>
        <v>-690</v>
      </c>
      <c r="I65" s="63"/>
      <c r="J65" s="78" t="s">
        <v>275</v>
      </c>
      <c r="K65" s="79"/>
      <c r="L65" s="82">
        <f>$L62-$L63+$L64</f>
        <v>18629.480852921093</v>
      </c>
      <c r="M65" s="60"/>
      <c r="N65" s="60"/>
      <c r="O65" s="60"/>
    </row>
    <row r="66" spans="1:15" ht="11.25">
      <c r="A66" s="60"/>
      <c r="B66" s="46" t="s">
        <v>200</v>
      </c>
      <c r="C66" s="47">
        <v>24000</v>
      </c>
      <c r="D66" s="48">
        <v>3.94</v>
      </c>
      <c r="E66" s="48">
        <v>3.58</v>
      </c>
      <c r="F66" s="48">
        <f t="shared" si="9"/>
        <v>85920</v>
      </c>
      <c r="G66" s="49">
        <f t="shared" si="11"/>
        <v>0.26131362361025967</v>
      </c>
      <c r="H66" s="48">
        <f t="shared" si="10"/>
        <v>-8640</v>
      </c>
      <c r="I66" s="65"/>
      <c r="J66" s="114" t="s">
        <v>24</v>
      </c>
      <c r="K66" s="114"/>
      <c r="L66" s="84">
        <f>$F79/$L65</f>
        <v>17.086561927836062</v>
      </c>
      <c r="M66" s="60"/>
      <c r="N66" s="60"/>
      <c r="O66" s="60"/>
    </row>
    <row r="67" spans="1:15" ht="11.25">
      <c r="A67" s="60"/>
      <c r="B67" s="46" t="s">
        <v>334</v>
      </c>
      <c r="C67" s="47">
        <v>4000</v>
      </c>
      <c r="D67" s="48">
        <v>18.4</v>
      </c>
      <c r="E67" s="48">
        <v>17.5</v>
      </c>
      <c r="F67" s="48">
        <f t="shared" si="9"/>
        <v>70000</v>
      </c>
      <c r="G67" s="49">
        <f t="shared" si="11"/>
        <v>0.21289517752232517</v>
      </c>
      <c r="H67" s="48">
        <f t="shared" si="10"/>
        <v>-3600</v>
      </c>
      <c r="I67" s="63"/>
      <c r="J67" s="115" t="s">
        <v>241</v>
      </c>
      <c r="K67" s="115"/>
      <c r="L67" s="115"/>
      <c r="M67" s="60"/>
      <c r="N67" s="60"/>
      <c r="O67" s="60"/>
    </row>
    <row r="68" spans="1:15" ht="11.25">
      <c r="A68" s="60"/>
      <c r="B68" s="46" t="s">
        <v>322</v>
      </c>
      <c r="C68" s="47">
        <v>3000</v>
      </c>
      <c r="D68" s="48">
        <v>3.74</v>
      </c>
      <c r="E68" s="48">
        <v>3.42</v>
      </c>
      <c r="F68" s="48">
        <f t="shared" si="9"/>
        <v>10260</v>
      </c>
      <c r="G68" s="49">
        <f t="shared" si="11"/>
        <v>0.031204350305415088</v>
      </c>
      <c r="H68" s="48">
        <f t="shared" si="10"/>
        <v>-960</v>
      </c>
      <c r="I68" s="63"/>
      <c r="J68" s="69" t="s">
        <v>246</v>
      </c>
      <c r="K68" s="70"/>
      <c r="L68" s="100">
        <v>2246.505000000092</v>
      </c>
      <c r="M68" s="60"/>
      <c r="N68" s="60"/>
      <c r="O68" s="60"/>
    </row>
    <row r="69" spans="1:15" ht="11.25">
      <c r="A69" s="60"/>
      <c r="B69" s="46" t="s">
        <v>337</v>
      </c>
      <c r="C69" s="47">
        <v>1000</v>
      </c>
      <c r="D69" s="48">
        <v>14.5</v>
      </c>
      <c r="E69" s="48">
        <v>13.8</v>
      </c>
      <c r="F69" s="48">
        <f t="shared" si="9"/>
        <v>13800</v>
      </c>
      <c r="G69" s="49">
        <f t="shared" si="11"/>
        <v>0.04197076356868696</v>
      </c>
      <c r="H69" s="48">
        <f t="shared" si="10"/>
        <v>-700</v>
      </c>
      <c r="I69" s="65"/>
      <c r="J69" s="109" t="s">
        <v>244</v>
      </c>
      <c r="K69" s="109"/>
      <c r="L69" s="80">
        <v>0</v>
      </c>
      <c r="M69" s="60"/>
      <c r="N69" s="60"/>
      <c r="O69" s="60"/>
    </row>
    <row r="70" spans="1:15" ht="11.25">
      <c r="A70" s="60"/>
      <c r="B70" s="46" t="s">
        <v>339</v>
      </c>
      <c r="C70" s="47">
        <v>2000</v>
      </c>
      <c r="D70" s="48">
        <v>13</v>
      </c>
      <c r="E70" s="48">
        <v>13</v>
      </c>
      <c r="F70" s="48">
        <f t="shared" si="9"/>
        <v>26000</v>
      </c>
      <c r="G70" s="49">
        <f t="shared" si="11"/>
        <v>0.07907535165114934</v>
      </c>
      <c r="H70" s="48">
        <f t="shared" si="10"/>
        <v>0</v>
      </c>
      <c r="I70" s="63"/>
      <c r="J70" s="109" t="s">
        <v>245</v>
      </c>
      <c r="K70" s="109"/>
      <c r="L70" s="80">
        <v>0</v>
      </c>
      <c r="M70" s="60"/>
      <c r="N70" s="60"/>
      <c r="O70" s="60"/>
    </row>
    <row r="71" spans="1:15" ht="11.25">
      <c r="A71" s="60"/>
      <c r="B71" s="46"/>
      <c r="C71" s="47"/>
      <c r="D71" s="48"/>
      <c r="E71" s="48"/>
      <c r="F71" s="48"/>
      <c r="G71" s="49"/>
      <c r="H71" s="48"/>
      <c r="I71" s="65"/>
      <c r="J71" s="108" t="s">
        <v>253</v>
      </c>
      <c r="K71" s="108"/>
      <c r="L71" s="87">
        <f>$L63*$N63</f>
        <v>0</v>
      </c>
      <c r="M71" s="60"/>
      <c r="N71" s="58"/>
      <c r="O71" s="60"/>
    </row>
    <row r="72" spans="1:15" ht="11.25">
      <c r="A72" s="60"/>
      <c r="B72" s="111" t="s">
        <v>25</v>
      </c>
      <c r="C72" s="111"/>
      <c r="D72" s="111"/>
      <c r="E72" s="50"/>
      <c r="F72" s="50">
        <f>SUM($F64:$F71)</f>
        <v>244080</v>
      </c>
      <c r="G72" s="51">
        <f>SUM($G64:$G71)</f>
        <v>0.742335070423559</v>
      </c>
      <c r="H72" s="48">
        <f>SUM(H64:H71)</f>
        <v>-15340</v>
      </c>
      <c r="I72" s="63"/>
      <c r="J72" s="109" t="s">
        <v>249</v>
      </c>
      <c r="K72" s="109"/>
      <c r="L72" s="80">
        <v>0</v>
      </c>
      <c r="M72" s="71"/>
      <c r="N72" s="60"/>
      <c r="O72" s="60"/>
    </row>
    <row r="73" spans="1:15" ht="11.25">
      <c r="A73" s="60"/>
      <c r="B73" s="104" t="s">
        <v>242</v>
      </c>
      <c r="C73" s="104"/>
      <c r="D73" s="48"/>
      <c r="E73" s="48"/>
      <c r="F73" s="48">
        <v>87032.29827687243</v>
      </c>
      <c r="G73" s="62"/>
      <c r="H73" s="62"/>
      <c r="I73" s="63"/>
      <c r="J73" s="108" t="s">
        <v>254</v>
      </c>
      <c r="K73" s="108"/>
      <c r="L73" s="87">
        <v>0</v>
      </c>
      <c r="M73" s="60"/>
      <c r="N73" s="94"/>
      <c r="O73" s="60"/>
    </row>
    <row r="74" spans="1:15" ht="11.25">
      <c r="A74" s="60"/>
      <c r="B74" s="52" t="s">
        <v>13</v>
      </c>
      <c r="C74" s="52"/>
      <c r="D74" s="48"/>
      <c r="E74" s="48"/>
      <c r="F74" s="48">
        <v>-12798.52</v>
      </c>
      <c r="G74" s="62"/>
      <c r="H74" s="62"/>
      <c r="I74" s="63"/>
      <c r="J74" s="109" t="s">
        <v>248</v>
      </c>
      <c r="K74" s="109"/>
      <c r="L74" s="80">
        <v>0</v>
      </c>
      <c r="M74" s="60"/>
      <c r="N74" s="60"/>
      <c r="O74" s="60"/>
    </row>
    <row r="75" spans="1:15" ht="11.25">
      <c r="A75" s="60"/>
      <c r="B75" s="104" t="s">
        <v>26</v>
      </c>
      <c r="C75" s="104"/>
      <c r="D75" s="48"/>
      <c r="E75" s="48"/>
      <c r="F75" s="48">
        <v>0</v>
      </c>
      <c r="G75" s="62"/>
      <c r="H75" s="62"/>
      <c r="I75" s="63"/>
      <c r="J75" s="110" t="s">
        <v>247</v>
      </c>
      <c r="K75" s="110"/>
      <c r="L75" s="86">
        <f>SUM(L68:L70,L72,L74)</f>
        <v>2246.505000000092</v>
      </c>
      <c r="M75" s="60"/>
      <c r="N75" s="60"/>
      <c r="O75" s="60"/>
    </row>
    <row r="76" spans="1:15" ht="11.25">
      <c r="A76" s="60"/>
      <c r="B76" s="52" t="s">
        <v>102</v>
      </c>
      <c r="C76" s="52"/>
      <c r="D76" s="48"/>
      <c r="E76" s="48"/>
      <c r="F76" s="48">
        <v>0</v>
      </c>
      <c r="G76" s="62"/>
      <c r="H76" s="62"/>
      <c r="I76" s="63"/>
      <c r="J76" s="55" t="s">
        <v>203</v>
      </c>
      <c r="K76" s="55"/>
      <c r="L76" s="50">
        <v>34550.30827687244</v>
      </c>
      <c r="M76" s="60"/>
      <c r="N76" s="60"/>
      <c r="O76" s="60"/>
    </row>
    <row r="77" spans="1:15" ht="11.25">
      <c r="A77" s="60"/>
      <c r="B77" s="104" t="s">
        <v>89</v>
      </c>
      <c r="C77" s="104"/>
      <c r="D77" s="48"/>
      <c r="E77" s="48"/>
      <c r="F77" s="48">
        <v>0</v>
      </c>
      <c r="G77" s="62"/>
      <c r="H77" s="62"/>
      <c r="I77" s="63"/>
      <c r="J77" s="98" t="s">
        <v>118</v>
      </c>
      <c r="K77" s="98"/>
      <c r="L77" s="99">
        <f>SUM($L75:$L76)</f>
        <v>36796.81327687253</v>
      </c>
      <c r="M77" s="60"/>
      <c r="N77" s="60"/>
      <c r="O77" s="60"/>
    </row>
    <row r="78" spans="1:15" ht="13.5">
      <c r="A78" s="60"/>
      <c r="B78" s="105" t="s">
        <v>243</v>
      </c>
      <c r="C78" s="105"/>
      <c r="D78" s="105"/>
      <c r="E78" s="53"/>
      <c r="F78" s="50">
        <f>SUM($F73:$F77)</f>
        <v>74233.77827687243</v>
      </c>
      <c r="G78" s="51">
        <f>$F78/$F79</f>
        <v>0.23320944094447324</v>
      </c>
      <c r="H78" s="57">
        <f>H61+5</f>
        <v>38020</v>
      </c>
      <c r="I78" s="63"/>
      <c r="J78" s="106" t="s">
        <v>117</v>
      </c>
      <c r="K78" s="106"/>
      <c r="L78" s="85">
        <f>$F79+$L75+$L71+$L73</f>
        <v>320560.2832768725</v>
      </c>
      <c r="M78" s="60"/>
      <c r="N78" s="60"/>
      <c r="O78" s="60"/>
    </row>
    <row r="79" spans="1:15" ht="13.5">
      <c r="A79" s="60"/>
      <c r="B79" s="107" t="s">
        <v>15</v>
      </c>
      <c r="C79" s="107"/>
      <c r="D79" s="107"/>
      <c r="E79" s="54"/>
      <c r="F79" s="74">
        <f>SUM($F72,$F78)</f>
        <v>318313.7782768724</v>
      </c>
      <c r="G79" s="56">
        <f>SUM($G72,$G78)</f>
        <v>0.9755445113680322</v>
      </c>
      <c r="H79" s="66"/>
      <c r="I79" s="63"/>
      <c r="J79" s="60"/>
      <c r="K79" s="60"/>
      <c r="L79" s="60"/>
      <c r="M79" s="60"/>
      <c r="N79" s="60"/>
      <c r="O79" s="60"/>
    </row>
    <row r="80" spans="1:15" ht="11.25">
      <c r="A80" s="60"/>
      <c r="B80" s="60"/>
      <c r="C80" s="60"/>
      <c r="D80" s="60"/>
      <c r="E80" s="60"/>
      <c r="F80" s="60"/>
      <c r="G80" s="66"/>
      <c r="H80" s="67"/>
      <c r="I80" s="63"/>
      <c r="J80" s="60"/>
      <c r="K80" s="60"/>
      <c r="L80" s="60"/>
      <c r="M80" s="60"/>
      <c r="N80" s="60"/>
      <c r="O80" s="60"/>
    </row>
    <row r="81" spans="1:15" ht="15.75">
      <c r="A81" s="60"/>
      <c r="B81" s="75"/>
      <c r="C81" s="75"/>
      <c r="D81" s="75"/>
      <c r="E81" s="76"/>
      <c r="F81" s="63"/>
      <c r="G81" s="77" t="s">
        <v>237</v>
      </c>
      <c r="H81" s="112">
        <v>38016</v>
      </c>
      <c r="I81" s="112"/>
      <c r="J81" s="112"/>
      <c r="K81" s="60"/>
      <c r="L81" s="60"/>
      <c r="M81" s="60"/>
      <c r="N81" s="60"/>
      <c r="O81" s="60"/>
    </row>
    <row r="82" spans="1:15" ht="11.25">
      <c r="A82" s="61"/>
      <c r="B82" s="113" t="s">
        <v>250</v>
      </c>
      <c r="C82" s="113"/>
      <c r="D82" s="113"/>
      <c r="E82" s="113"/>
      <c r="F82" s="113"/>
      <c r="G82" s="113"/>
      <c r="H82" s="113"/>
      <c r="I82" s="64"/>
      <c r="J82" s="68" t="s">
        <v>252</v>
      </c>
      <c r="K82" s="68"/>
      <c r="L82" s="47">
        <v>18629.480852921093</v>
      </c>
      <c r="M82" s="72"/>
      <c r="N82" s="73"/>
      <c r="O82" s="61"/>
    </row>
    <row r="83" spans="1:15" ht="11.25">
      <c r="A83" s="60"/>
      <c r="B83" s="45" t="s">
        <v>2</v>
      </c>
      <c r="C83" s="45" t="s">
        <v>4</v>
      </c>
      <c r="D83" s="45" t="s">
        <v>9</v>
      </c>
      <c r="E83" s="45" t="s">
        <v>10</v>
      </c>
      <c r="F83" s="45" t="s">
        <v>11</v>
      </c>
      <c r="G83" s="45" t="s">
        <v>12</v>
      </c>
      <c r="H83" s="45" t="s">
        <v>240</v>
      </c>
      <c r="I83" s="63"/>
      <c r="J83" s="68" t="s">
        <v>255</v>
      </c>
      <c r="K83" s="68"/>
      <c r="L83" s="81">
        <v>0</v>
      </c>
      <c r="M83" s="59" t="s">
        <v>251</v>
      </c>
      <c r="N83" s="83">
        <v>0</v>
      </c>
      <c r="O83" s="60"/>
    </row>
    <row r="84" spans="1:15" ht="11.25">
      <c r="A84" s="60"/>
      <c r="B84" s="46" t="s">
        <v>208</v>
      </c>
      <c r="C84" s="47">
        <v>300</v>
      </c>
      <c r="D84" s="48">
        <v>28.5</v>
      </c>
      <c r="E84" s="48">
        <v>26</v>
      </c>
      <c r="F84" s="48">
        <f aca="true" t="shared" si="12" ref="F84:F90">$C84*$E84</f>
        <v>7800</v>
      </c>
      <c r="G84" s="49">
        <f>$F84/F$19</f>
        <v>0.023722605495344804</v>
      </c>
      <c r="H84" s="48">
        <f aca="true" t="shared" si="13" ref="H84:H90">$F84-($C84*$D84)</f>
        <v>-750</v>
      </c>
      <c r="I84" s="65"/>
      <c r="J84" s="68" t="s">
        <v>256</v>
      </c>
      <c r="K84" s="68"/>
      <c r="L84" s="81">
        <v>0</v>
      </c>
      <c r="M84" s="59" t="s">
        <v>251</v>
      </c>
      <c r="N84" s="97">
        <v>0</v>
      </c>
      <c r="O84" s="60"/>
    </row>
    <row r="85" spans="1:15" ht="11.25">
      <c r="A85" s="60"/>
      <c r="B85" s="46" t="s">
        <v>318</v>
      </c>
      <c r="C85" s="47">
        <v>300</v>
      </c>
      <c r="D85" s="48">
        <v>103.3</v>
      </c>
      <c r="E85" s="48">
        <v>101</v>
      </c>
      <c r="F85" s="48">
        <f t="shared" si="12"/>
        <v>30300</v>
      </c>
      <c r="G85" s="49">
        <f aca="true" t="shared" si="14" ref="G85:G90">$F85/F$19</f>
        <v>0.09215319827037789</v>
      </c>
      <c r="H85" s="48">
        <f t="shared" si="13"/>
        <v>-690</v>
      </c>
      <c r="I85" s="63"/>
      <c r="J85" s="78" t="s">
        <v>275</v>
      </c>
      <c r="K85" s="79"/>
      <c r="L85" s="82">
        <f>$L82-$L83+$L84</f>
        <v>18629.480852921093</v>
      </c>
      <c r="M85" s="60"/>
      <c r="N85" s="60"/>
      <c r="O85" s="60"/>
    </row>
    <row r="86" spans="1:15" ht="11.25">
      <c r="A86" s="60"/>
      <c r="B86" s="46" t="s">
        <v>200</v>
      </c>
      <c r="C86" s="47">
        <v>29000</v>
      </c>
      <c r="D86" s="48">
        <v>3.9</v>
      </c>
      <c r="E86" s="48">
        <v>3.54</v>
      </c>
      <c r="F86" s="48">
        <f t="shared" si="12"/>
        <v>102660</v>
      </c>
      <c r="G86" s="49">
        <f t="shared" si="14"/>
        <v>0.3122259846348843</v>
      </c>
      <c r="H86" s="48">
        <f t="shared" si="13"/>
        <v>-10440</v>
      </c>
      <c r="I86" s="65"/>
      <c r="J86" s="114" t="s">
        <v>24</v>
      </c>
      <c r="K86" s="114"/>
      <c r="L86" s="84">
        <f>$F99/$L85</f>
        <v>16.841254501607732</v>
      </c>
      <c r="M86" s="60"/>
      <c r="N86" s="60"/>
      <c r="O86" s="60"/>
    </row>
    <row r="87" spans="1:15" ht="11.25">
      <c r="A87" s="60"/>
      <c r="B87" s="46" t="s">
        <v>334</v>
      </c>
      <c r="C87" s="47">
        <v>3000</v>
      </c>
      <c r="D87" s="48">
        <v>18.4</v>
      </c>
      <c r="E87" s="48">
        <v>16.8</v>
      </c>
      <c r="F87" s="48">
        <f t="shared" si="12"/>
        <v>50400</v>
      </c>
      <c r="G87" s="49">
        <f t="shared" si="14"/>
        <v>0.15328452781607413</v>
      </c>
      <c r="H87" s="48">
        <f t="shared" si="13"/>
        <v>-4799.999999999993</v>
      </c>
      <c r="I87" s="63"/>
      <c r="J87" s="115" t="s">
        <v>241</v>
      </c>
      <c r="K87" s="115"/>
      <c r="L87" s="115"/>
      <c r="M87" s="60"/>
      <c r="N87" s="60"/>
      <c r="O87" s="60"/>
    </row>
    <row r="88" spans="1:15" ht="11.25">
      <c r="A88" s="60"/>
      <c r="B88" s="46" t="s">
        <v>322</v>
      </c>
      <c r="C88" s="47">
        <v>1000</v>
      </c>
      <c r="D88" s="48">
        <v>3.74</v>
      </c>
      <c r="E88" s="48">
        <v>3.26</v>
      </c>
      <c r="F88" s="48">
        <f t="shared" si="12"/>
        <v>3260</v>
      </c>
      <c r="G88" s="49">
        <f t="shared" si="14"/>
        <v>0.009914832553182573</v>
      </c>
      <c r="H88" s="48">
        <f t="shared" si="13"/>
        <v>-480</v>
      </c>
      <c r="I88" s="63"/>
      <c r="J88" s="69" t="s">
        <v>246</v>
      </c>
      <c r="K88" s="70"/>
      <c r="L88" s="100">
        <v>2246.505000000092</v>
      </c>
      <c r="M88" s="60"/>
      <c r="N88" s="60"/>
      <c r="O88" s="60"/>
    </row>
    <row r="89" spans="1:15" ht="11.25">
      <c r="A89" s="60"/>
      <c r="B89" s="46" t="s">
        <v>337</v>
      </c>
      <c r="C89" s="47">
        <v>1000</v>
      </c>
      <c r="D89" s="48">
        <v>14.5</v>
      </c>
      <c r="E89" s="48">
        <v>13.1</v>
      </c>
      <c r="F89" s="48">
        <f t="shared" si="12"/>
        <v>13100</v>
      </c>
      <c r="G89" s="49">
        <f t="shared" si="14"/>
        <v>0.03984181179346371</v>
      </c>
      <c r="H89" s="48">
        <f t="shared" si="13"/>
        <v>-1400</v>
      </c>
      <c r="I89" s="65"/>
      <c r="J89" s="109" t="s">
        <v>244</v>
      </c>
      <c r="K89" s="109"/>
      <c r="L89" s="80">
        <v>0</v>
      </c>
      <c r="M89" s="60"/>
      <c r="N89" s="60"/>
      <c r="O89" s="60"/>
    </row>
    <row r="90" spans="1:15" ht="11.25">
      <c r="A90" s="60"/>
      <c r="B90" s="46" t="s">
        <v>339</v>
      </c>
      <c r="C90" s="47">
        <v>2000</v>
      </c>
      <c r="D90" s="48">
        <v>13</v>
      </c>
      <c r="E90" s="48">
        <v>13</v>
      </c>
      <c r="F90" s="48">
        <f t="shared" si="12"/>
        <v>26000</v>
      </c>
      <c r="G90" s="49">
        <f t="shared" si="14"/>
        <v>0.07907535165114934</v>
      </c>
      <c r="H90" s="48">
        <f t="shared" si="13"/>
        <v>0</v>
      </c>
      <c r="I90" s="63"/>
      <c r="J90" s="109" t="s">
        <v>245</v>
      </c>
      <c r="K90" s="109"/>
      <c r="L90" s="80">
        <v>0</v>
      </c>
      <c r="M90" s="60"/>
      <c r="N90" s="60"/>
      <c r="O90" s="60"/>
    </row>
    <row r="91" spans="1:15" ht="11.25">
      <c r="A91" s="60"/>
      <c r="B91" s="46"/>
      <c r="C91" s="47"/>
      <c r="D91" s="48"/>
      <c r="E91" s="48"/>
      <c r="F91" s="48"/>
      <c r="G91" s="49"/>
      <c r="H91" s="48"/>
      <c r="I91" s="65"/>
      <c r="J91" s="108" t="s">
        <v>253</v>
      </c>
      <c r="K91" s="108"/>
      <c r="L91" s="87">
        <f>$L83*$N83</f>
        <v>0</v>
      </c>
      <c r="M91" s="60"/>
      <c r="N91" s="58"/>
      <c r="O91" s="60"/>
    </row>
    <row r="92" spans="1:15" ht="11.25">
      <c r="A92" s="60"/>
      <c r="B92" s="111" t="s">
        <v>25</v>
      </c>
      <c r="C92" s="111"/>
      <c r="D92" s="111"/>
      <c r="E92" s="50"/>
      <c r="F92" s="50">
        <f>SUM($F84:$F91)</f>
        <v>233520</v>
      </c>
      <c r="G92" s="51">
        <f>SUM($G84:$G91)</f>
        <v>0.7102183122144767</v>
      </c>
      <c r="H92" s="48">
        <f>SUM(H84:H91)</f>
        <v>-18559.999999999993</v>
      </c>
      <c r="I92" s="63"/>
      <c r="J92" s="109" t="s">
        <v>249</v>
      </c>
      <c r="K92" s="109"/>
      <c r="L92" s="80">
        <v>0</v>
      </c>
      <c r="M92" s="71"/>
      <c r="N92" s="60"/>
      <c r="O92" s="60"/>
    </row>
    <row r="93" spans="1:15" ht="11.25">
      <c r="A93" s="60"/>
      <c r="B93" s="104" t="s">
        <v>242</v>
      </c>
      <c r="C93" s="104"/>
      <c r="D93" s="48"/>
      <c r="E93" s="48"/>
      <c r="F93" s="48">
        <v>74233.77827687243</v>
      </c>
      <c r="G93" s="62"/>
      <c r="H93" s="62"/>
      <c r="I93" s="63"/>
      <c r="J93" s="108" t="s">
        <v>254</v>
      </c>
      <c r="K93" s="108"/>
      <c r="L93" s="87">
        <v>0</v>
      </c>
      <c r="M93" s="60"/>
      <c r="N93" s="94"/>
      <c r="O93" s="60"/>
    </row>
    <row r="94" spans="1:15" ht="11.25">
      <c r="A94" s="60"/>
      <c r="B94" s="52" t="s">
        <v>13</v>
      </c>
      <c r="C94" s="52"/>
      <c r="D94" s="48"/>
      <c r="E94" s="48"/>
      <c r="F94" s="48">
        <v>0</v>
      </c>
      <c r="G94" s="62"/>
      <c r="H94" s="62"/>
      <c r="I94" s="63"/>
      <c r="J94" s="109" t="s">
        <v>248</v>
      </c>
      <c r="K94" s="109"/>
      <c r="L94" s="80">
        <v>0</v>
      </c>
      <c r="M94" s="60"/>
      <c r="N94" s="60"/>
      <c r="O94" s="60"/>
    </row>
    <row r="95" spans="1:15" ht="11.25">
      <c r="A95" s="60"/>
      <c r="B95" s="104" t="s">
        <v>26</v>
      </c>
      <c r="C95" s="104"/>
      <c r="D95" s="48"/>
      <c r="E95" s="48"/>
      <c r="F95" s="48">
        <v>5990.05</v>
      </c>
      <c r="G95" s="62"/>
      <c r="H95" s="62"/>
      <c r="I95" s="63"/>
      <c r="J95" s="110" t="s">
        <v>247</v>
      </c>
      <c r="K95" s="110"/>
      <c r="L95" s="86">
        <f>SUM(L88:L90,L92,L94)</f>
        <v>2246.505000000092</v>
      </c>
      <c r="M95" s="60"/>
      <c r="N95" s="60"/>
      <c r="O95" s="60"/>
    </row>
    <row r="96" spans="1:15" ht="11.25">
      <c r="A96" s="60"/>
      <c r="B96" s="52" t="s">
        <v>102</v>
      </c>
      <c r="C96" s="52"/>
      <c r="D96" s="48"/>
      <c r="E96" s="48"/>
      <c r="F96" s="48">
        <v>0</v>
      </c>
      <c r="G96" s="62"/>
      <c r="H96" s="62"/>
      <c r="I96" s="63"/>
      <c r="J96" s="55" t="s">
        <v>203</v>
      </c>
      <c r="K96" s="55"/>
      <c r="L96" s="50">
        <v>85236.76827687243</v>
      </c>
      <c r="M96" s="60"/>
      <c r="N96" s="60"/>
      <c r="O96" s="60"/>
    </row>
    <row r="97" spans="1:15" ht="11.25">
      <c r="A97" s="60"/>
      <c r="B97" s="104" t="s">
        <v>89</v>
      </c>
      <c r="C97" s="104"/>
      <c r="D97" s="48"/>
      <c r="E97" s="48"/>
      <c r="F97" s="48">
        <v>0</v>
      </c>
      <c r="G97" s="62"/>
      <c r="H97" s="62"/>
      <c r="I97" s="63"/>
      <c r="J97" s="98" t="s">
        <v>118</v>
      </c>
      <c r="K97" s="98"/>
      <c r="L97" s="99">
        <f>SUM($L95:$L96)</f>
        <v>87483.27327687253</v>
      </c>
      <c r="M97" s="60"/>
      <c r="N97" s="60"/>
      <c r="O97" s="60"/>
    </row>
    <row r="98" spans="1:15" ht="13.5">
      <c r="A98" s="60"/>
      <c r="B98" s="105" t="s">
        <v>243</v>
      </c>
      <c r="C98" s="105"/>
      <c r="D98" s="105"/>
      <c r="E98" s="53"/>
      <c r="F98" s="50">
        <f>SUM($F93:$F97)</f>
        <v>80223.82827687243</v>
      </c>
      <c r="G98" s="51">
        <f>$F98/$F99</f>
        <v>0.25569850638169866</v>
      </c>
      <c r="H98" s="57">
        <f>H81+5</f>
        <v>38021</v>
      </c>
      <c r="I98" s="63"/>
      <c r="J98" s="106" t="s">
        <v>117</v>
      </c>
      <c r="K98" s="106"/>
      <c r="L98" s="85">
        <f>$F99+$L95+$L91+$L93</f>
        <v>315990.3332768725</v>
      </c>
      <c r="M98" s="60"/>
      <c r="N98" s="60"/>
      <c r="O98" s="60"/>
    </row>
    <row r="99" spans="1:15" ht="13.5">
      <c r="A99" s="60"/>
      <c r="B99" s="107" t="s">
        <v>15</v>
      </c>
      <c r="C99" s="107"/>
      <c r="D99" s="107"/>
      <c r="E99" s="54"/>
      <c r="F99" s="74">
        <f>SUM($F92,$F98)</f>
        <v>313743.8282768724</v>
      </c>
      <c r="G99" s="56">
        <f>SUM($G92,$G98)</f>
        <v>0.9659168185961754</v>
      </c>
      <c r="H99" s="66"/>
      <c r="I99" s="63"/>
      <c r="J99" s="60"/>
      <c r="K99" s="60"/>
      <c r="L99" s="60"/>
      <c r="M99" s="60"/>
      <c r="N99" s="60"/>
      <c r="O99" s="60"/>
    </row>
    <row r="100" spans="1:15" ht="11.25">
      <c r="A100" s="60"/>
      <c r="B100" s="60"/>
      <c r="C100" s="60"/>
      <c r="D100" s="60"/>
      <c r="E100" s="60"/>
      <c r="F100" s="60"/>
      <c r="G100" s="66"/>
      <c r="H100" s="67"/>
      <c r="I100" s="63"/>
      <c r="J100" s="60"/>
      <c r="K100" s="60"/>
      <c r="L100" s="60"/>
      <c r="M100" s="60"/>
      <c r="N100" s="60"/>
      <c r="O100" s="60"/>
    </row>
  </sheetData>
  <mergeCells count="90">
    <mergeCell ref="B97:C97"/>
    <mergeCell ref="B98:D98"/>
    <mergeCell ref="J98:K98"/>
    <mergeCell ref="B99:D99"/>
    <mergeCell ref="B93:C93"/>
    <mergeCell ref="J93:K93"/>
    <mergeCell ref="J94:K94"/>
    <mergeCell ref="B95:C95"/>
    <mergeCell ref="J95:K95"/>
    <mergeCell ref="J89:K89"/>
    <mergeCell ref="J90:K90"/>
    <mergeCell ref="J91:K91"/>
    <mergeCell ref="B92:D92"/>
    <mergeCell ref="J92:K92"/>
    <mergeCell ref="H81:J81"/>
    <mergeCell ref="B82:H82"/>
    <mergeCell ref="J86:K86"/>
    <mergeCell ref="J87:L87"/>
    <mergeCell ref="B57:C57"/>
    <mergeCell ref="B58:D58"/>
    <mergeCell ref="J58:K58"/>
    <mergeCell ref="B59:D59"/>
    <mergeCell ref="B53:C53"/>
    <mergeCell ref="J53:K53"/>
    <mergeCell ref="J54:K54"/>
    <mergeCell ref="B55:C55"/>
    <mergeCell ref="J55:K55"/>
    <mergeCell ref="J49:K49"/>
    <mergeCell ref="J50:K50"/>
    <mergeCell ref="J51:K51"/>
    <mergeCell ref="B52:D52"/>
    <mergeCell ref="J52:K52"/>
    <mergeCell ref="H41:J41"/>
    <mergeCell ref="B42:H42"/>
    <mergeCell ref="J46:K46"/>
    <mergeCell ref="J47:L47"/>
    <mergeCell ref="B37:C37"/>
    <mergeCell ref="B38:D38"/>
    <mergeCell ref="J38:K38"/>
    <mergeCell ref="B39:D39"/>
    <mergeCell ref="B33:C33"/>
    <mergeCell ref="J33:K33"/>
    <mergeCell ref="J34:K34"/>
    <mergeCell ref="B35:C35"/>
    <mergeCell ref="J35:K35"/>
    <mergeCell ref="J29:K29"/>
    <mergeCell ref="J30:K30"/>
    <mergeCell ref="J31:K31"/>
    <mergeCell ref="B32:D32"/>
    <mergeCell ref="J32:K32"/>
    <mergeCell ref="H21:J21"/>
    <mergeCell ref="B22:H22"/>
    <mergeCell ref="J26:K26"/>
    <mergeCell ref="J27:L27"/>
    <mergeCell ref="H1:J1"/>
    <mergeCell ref="B2:H2"/>
    <mergeCell ref="J6:K6"/>
    <mergeCell ref="J7:L7"/>
    <mergeCell ref="J9:K9"/>
    <mergeCell ref="J10:K10"/>
    <mergeCell ref="J11:K11"/>
    <mergeCell ref="B12:D12"/>
    <mergeCell ref="J12:K12"/>
    <mergeCell ref="B13:C13"/>
    <mergeCell ref="J13:K13"/>
    <mergeCell ref="J14:K14"/>
    <mergeCell ref="B15:C15"/>
    <mergeCell ref="J15:K15"/>
    <mergeCell ref="B17:C17"/>
    <mergeCell ref="B18:D18"/>
    <mergeCell ref="J18:K18"/>
    <mergeCell ref="B19:D19"/>
    <mergeCell ref="H61:J61"/>
    <mergeCell ref="B62:H62"/>
    <mergeCell ref="J66:K66"/>
    <mergeCell ref="J67:L67"/>
    <mergeCell ref="J69:K69"/>
    <mergeCell ref="J70:K70"/>
    <mergeCell ref="J71:K71"/>
    <mergeCell ref="B72:D72"/>
    <mergeCell ref="J72:K72"/>
    <mergeCell ref="B73:C73"/>
    <mergeCell ref="J73:K73"/>
    <mergeCell ref="J74:K74"/>
    <mergeCell ref="B75:C75"/>
    <mergeCell ref="J75:K75"/>
    <mergeCell ref="B77:C77"/>
    <mergeCell ref="B78:D78"/>
    <mergeCell ref="J78:K78"/>
    <mergeCell ref="B79:D7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P1" sqref="P1"/>
    </sheetView>
  </sheetViews>
  <sheetFormatPr defaultColWidth="9.140625" defaultRowHeight="21.75"/>
  <cols>
    <col min="1" max="1" width="1.8515625" style="2" customWidth="1"/>
    <col min="2" max="2" width="10.57421875" style="3" customWidth="1"/>
    <col min="3" max="3" width="8.7109375" style="3" customWidth="1"/>
    <col min="4" max="4" width="8.57421875" style="3" customWidth="1"/>
    <col min="5" max="5" width="8.00390625" style="4" customWidth="1"/>
    <col min="6" max="6" width="10.140625" style="5" customWidth="1"/>
    <col min="7" max="7" width="7.8515625" style="5" customWidth="1"/>
    <col min="8" max="8" width="9.57421875" style="5" customWidth="1"/>
    <col min="9" max="9" width="2.28125" style="5" customWidth="1"/>
    <col min="10" max="10" width="10.8515625" style="2" customWidth="1"/>
    <col min="11" max="11" width="14.28125" style="2" customWidth="1"/>
    <col min="12" max="12" width="10.140625" style="2" customWidth="1"/>
    <col min="13" max="13" width="2.28125" style="2" customWidth="1"/>
    <col min="14" max="14" width="9.8515625" style="2" customWidth="1"/>
    <col min="15" max="15" width="1.57421875" style="2" customWidth="1"/>
    <col min="16" max="16384" width="14.7109375" style="2" customWidth="1"/>
  </cols>
  <sheetData>
    <row r="1" spans="1:15" ht="15.75">
      <c r="A1" s="60"/>
      <c r="B1" s="75"/>
      <c r="C1" s="75"/>
      <c r="D1" s="75"/>
      <c r="E1" s="76"/>
      <c r="F1" s="63"/>
      <c r="G1" s="77" t="s">
        <v>229</v>
      </c>
      <c r="H1" s="112">
        <v>38019</v>
      </c>
      <c r="I1" s="112"/>
      <c r="J1" s="112"/>
      <c r="K1" s="60"/>
      <c r="L1" s="60"/>
      <c r="M1" s="60"/>
      <c r="N1" s="60"/>
      <c r="O1" s="60"/>
    </row>
    <row r="2" spans="1:15" ht="11.25">
      <c r="A2" s="61"/>
      <c r="B2" s="113" t="s">
        <v>250</v>
      </c>
      <c r="C2" s="113"/>
      <c r="D2" s="113"/>
      <c r="E2" s="113"/>
      <c r="F2" s="113"/>
      <c r="G2" s="113"/>
      <c r="H2" s="113"/>
      <c r="I2" s="64"/>
      <c r="J2" s="68" t="s">
        <v>252</v>
      </c>
      <c r="K2" s="68"/>
      <c r="L2" s="47">
        <v>18629.480852921093</v>
      </c>
      <c r="M2" s="72"/>
      <c r="N2" s="73"/>
      <c r="O2" s="61"/>
    </row>
    <row r="3" spans="1:15" ht="11.25">
      <c r="A3" s="60"/>
      <c r="B3" s="45" t="s">
        <v>2</v>
      </c>
      <c r="C3" s="45" t="s">
        <v>4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240</v>
      </c>
      <c r="I3" s="63"/>
      <c r="J3" s="68" t="s">
        <v>255</v>
      </c>
      <c r="K3" s="68"/>
      <c r="L3" s="81">
        <v>0</v>
      </c>
      <c r="M3" s="59" t="s">
        <v>251</v>
      </c>
      <c r="N3" s="83">
        <v>0</v>
      </c>
      <c r="O3" s="60"/>
    </row>
    <row r="4" spans="1:15" ht="11.25">
      <c r="A4" s="60"/>
      <c r="B4" s="46" t="s">
        <v>208</v>
      </c>
      <c r="C4" s="47">
        <v>300</v>
      </c>
      <c r="D4" s="48">
        <v>28.5</v>
      </c>
      <c r="E4" s="48">
        <v>26</v>
      </c>
      <c r="F4" s="48">
        <f aca="true" t="shared" si="0" ref="F4:F10">$C4*$E4</f>
        <v>7800</v>
      </c>
      <c r="G4" s="49">
        <f>$F4/F$19</f>
        <v>0.026180046438406292</v>
      </c>
      <c r="H4" s="48">
        <f aca="true" t="shared" si="1" ref="H4:H10">$F4-($C4*$D4)</f>
        <v>-750</v>
      </c>
      <c r="I4" s="65"/>
      <c r="J4" s="68" t="s">
        <v>256</v>
      </c>
      <c r="K4" s="68"/>
      <c r="L4" s="81">
        <v>0</v>
      </c>
      <c r="M4" s="59" t="s">
        <v>251</v>
      </c>
      <c r="N4" s="97">
        <v>0</v>
      </c>
      <c r="O4" s="60"/>
    </row>
    <row r="5" spans="1:15" ht="11.25">
      <c r="A5" s="60"/>
      <c r="B5" s="46" t="s">
        <v>318</v>
      </c>
      <c r="C5" s="47">
        <v>300</v>
      </c>
      <c r="D5" s="48">
        <v>103.3</v>
      </c>
      <c r="E5" s="48">
        <v>101</v>
      </c>
      <c r="F5" s="48">
        <f t="shared" si="0"/>
        <v>30300</v>
      </c>
      <c r="G5" s="49">
        <f aca="true" t="shared" si="2" ref="G5:G10">$F5/F$19</f>
        <v>0.10169941116457829</v>
      </c>
      <c r="H5" s="48">
        <f t="shared" si="1"/>
        <v>-690</v>
      </c>
      <c r="I5" s="63"/>
      <c r="J5" s="78" t="s">
        <v>275</v>
      </c>
      <c r="K5" s="79"/>
      <c r="L5" s="82">
        <f>$L2-$L3+$L4</f>
        <v>18629.480852921093</v>
      </c>
      <c r="M5" s="60"/>
      <c r="N5" s="60"/>
      <c r="O5" s="60"/>
    </row>
    <row r="6" spans="1:15" ht="11.25">
      <c r="A6" s="60"/>
      <c r="B6" s="46" t="s">
        <v>200</v>
      </c>
      <c r="C6" s="47">
        <v>29000</v>
      </c>
      <c r="D6" s="48">
        <v>3.9</v>
      </c>
      <c r="E6" s="48">
        <v>3.18</v>
      </c>
      <c r="F6" s="48">
        <f t="shared" si="0"/>
        <v>92220</v>
      </c>
      <c r="G6" s="49">
        <f t="shared" si="2"/>
        <v>0.3095287028910036</v>
      </c>
      <c r="H6" s="48">
        <f t="shared" si="1"/>
        <v>-20880</v>
      </c>
      <c r="I6" s="65"/>
      <c r="J6" s="114" t="s">
        <v>24</v>
      </c>
      <c r="K6" s="114"/>
      <c r="L6" s="84">
        <f>$F19/$L5</f>
        <v>15.992760647978876</v>
      </c>
      <c r="M6" s="60"/>
      <c r="N6" s="60"/>
      <c r="O6" s="60"/>
    </row>
    <row r="7" spans="1:15" ht="11.25">
      <c r="A7" s="60"/>
      <c r="B7" s="46" t="s">
        <v>334</v>
      </c>
      <c r="C7" s="47">
        <v>2000</v>
      </c>
      <c r="D7" s="48">
        <v>18.4</v>
      </c>
      <c r="E7" s="48">
        <v>15.1</v>
      </c>
      <c r="F7" s="48">
        <f t="shared" si="0"/>
        <v>30200</v>
      </c>
      <c r="G7" s="49">
        <f t="shared" si="2"/>
        <v>0.10136376954357307</v>
      </c>
      <c r="H7" s="48">
        <f t="shared" si="1"/>
        <v>-6600</v>
      </c>
      <c r="I7" s="63"/>
      <c r="J7" s="115" t="s">
        <v>241</v>
      </c>
      <c r="K7" s="115"/>
      <c r="L7" s="115"/>
      <c r="M7" s="60"/>
      <c r="N7" s="60"/>
      <c r="O7" s="60"/>
    </row>
    <row r="8" spans="1:15" ht="11.25">
      <c r="A8" s="60"/>
      <c r="B8" s="46" t="s">
        <v>322</v>
      </c>
      <c r="C8" s="47">
        <v>1000</v>
      </c>
      <c r="D8" s="48">
        <v>3.74</v>
      </c>
      <c r="E8" s="48">
        <v>3</v>
      </c>
      <c r="F8" s="48">
        <f t="shared" si="0"/>
        <v>3000</v>
      </c>
      <c r="G8" s="49">
        <f t="shared" si="2"/>
        <v>0.010069248630156265</v>
      </c>
      <c r="H8" s="48">
        <f t="shared" si="1"/>
        <v>-740</v>
      </c>
      <c r="I8" s="63"/>
      <c r="J8" s="69" t="s">
        <v>246</v>
      </c>
      <c r="K8" s="70"/>
      <c r="L8" s="100">
        <v>2246.505000000092</v>
      </c>
      <c r="M8" s="60"/>
      <c r="N8" s="60"/>
      <c r="O8" s="60"/>
    </row>
    <row r="9" spans="1:15" ht="11.25">
      <c r="A9" s="60"/>
      <c r="B9" s="46" t="s">
        <v>339</v>
      </c>
      <c r="C9" s="47">
        <v>2000</v>
      </c>
      <c r="D9" s="48">
        <v>13</v>
      </c>
      <c r="E9" s="48">
        <v>13</v>
      </c>
      <c r="F9" s="48">
        <f t="shared" si="0"/>
        <v>26000</v>
      </c>
      <c r="G9" s="49">
        <f t="shared" si="2"/>
        <v>0.0872668214613543</v>
      </c>
      <c r="H9" s="48">
        <f t="shared" si="1"/>
        <v>0</v>
      </c>
      <c r="I9" s="65"/>
      <c r="J9" s="109" t="s">
        <v>244</v>
      </c>
      <c r="K9" s="109"/>
      <c r="L9" s="80">
        <v>-1900</v>
      </c>
      <c r="M9" s="60"/>
      <c r="N9" s="60"/>
      <c r="O9" s="60"/>
    </row>
    <row r="10" spans="1:15" ht="11.25">
      <c r="A10" s="60"/>
      <c r="B10" s="46"/>
      <c r="C10" s="47"/>
      <c r="D10" s="48"/>
      <c r="E10" s="48"/>
      <c r="F10" s="48"/>
      <c r="G10" s="49"/>
      <c r="H10" s="48"/>
      <c r="I10" s="63"/>
      <c r="J10" s="109" t="s">
        <v>245</v>
      </c>
      <c r="K10" s="109"/>
      <c r="L10" s="80">
        <v>0</v>
      </c>
      <c r="M10" s="60"/>
      <c r="N10" s="60"/>
      <c r="O10" s="60"/>
    </row>
    <row r="11" spans="1:15" ht="11.25">
      <c r="A11" s="60"/>
      <c r="B11" s="46"/>
      <c r="C11" s="47"/>
      <c r="D11" s="48"/>
      <c r="E11" s="48"/>
      <c r="F11" s="48"/>
      <c r="G11" s="49"/>
      <c r="H11" s="48"/>
      <c r="I11" s="65"/>
      <c r="J11" s="108" t="s">
        <v>253</v>
      </c>
      <c r="K11" s="108"/>
      <c r="L11" s="87">
        <f>$L3*$N3</f>
        <v>0</v>
      </c>
      <c r="M11" s="60"/>
      <c r="N11" s="58"/>
      <c r="O11" s="60"/>
    </row>
    <row r="12" spans="1:15" ht="11.25">
      <c r="A12" s="60"/>
      <c r="B12" s="111" t="s">
        <v>25</v>
      </c>
      <c r="C12" s="111"/>
      <c r="D12" s="111"/>
      <c r="E12" s="50"/>
      <c r="F12" s="50">
        <f>SUM($F4:$F11)</f>
        <v>189520</v>
      </c>
      <c r="G12" s="51">
        <f>SUM($G4:$G11)</f>
        <v>0.6361080001290719</v>
      </c>
      <c r="H12" s="48">
        <f>SUM(H4:H11)</f>
        <v>-29660</v>
      </c>
      <c r="I12" s="63"/>
      <c r="J12" s="109" t="s">
        <v>249</v>
      </c>
      <c r="K12" s="109"/>
      <c r="L12" s="80">
        <v>0</v>
      </c>
      <c r="M12" s="71"/>
      <c r="N12" s="60"/>
      <c r="O12" s="60"/>
    </row>
    <row r="13" spans="1:15" ht="11.25">
      <c r="A13" s="60"/>
      <c r="B13" s="104" t="s">
        <v>242</v>
      </c>
      <c r="C13" s="104"/>
      <c r="D13" s="48"/>
      <c r="E13" s="48"/>
      <c r="F13" s="48">
        <v>80223.82827687243</v>
      </c>
      <c r="G13" s="62"/>
      <c r="H13" s="62"/>
      <c r="I13" s="63"/>
      <c r="J13" s="108" t="s">
        <v>254</v>
      </c>
      <c r="K13" s="108"/>
      <c r="L13" s="87">
        <v>0</v>
      </c>
      <c r="M13" s="60"/>
      <c r="N13" s="94"/>
      <c r="O13" s="60"/>
    </row>
    <row r="14" spans="1:15" ht="11.25">
      <c r="A14" s="60"/>
      <c r="B14" s="52" t="s">
        <v>13</v>
      </c>
      <c r="C14" s="52"/>
      <c r="D14" s="48"/>
      <c r="E14" s="48"/>
      <c r="F14" s="48">
        <v>0</v>
      </c>
      <c r="G14" s="62"/>
      <c r="H14" s="62"/>
      <c r="I14" s="63"/>
      <c r="J14" s="109" t="s">
        <v>248</v>
      </c>
      <c r="K14" s="109"/>
      <c r="L14" s="80">
        <v>0</v>
      </c>
      <c r="M14" s="60"/>
      <c r="N14" s="60"/>
      <c r="O14" s="60"/>
    </row>
    <row r="15" spans="1:15" ht="11.25">
      <c r="A15" s="60"/>
      <c r="B15" s="104" t="s">
        <v>26</v>
      </c>
      <c r="C15" s="104"/>
      <c r="D15" s="48"/>
      <c r="E15" s="48"/>
      <c r="F15" s="48">
        <v>28193</v>
      </c>
      <c r="G15" s="62"/>
      <c r="H15" s="62"/>
      <c r="I15" s="63"/>
      <c r="J15" s="110" t="s">
        <v>247</v>
      </c>
      <c r="K15" s="110"/>
      <c r="L15" s="86">
        <f>SUM(L8:L10,L12,L14)</f>
        <v>346.50500000009197</v>
      </c>
      <c r="M15" s="60"/>
      <c r="N15" s="60"/>
      <c r="O15" s="60"/>
    </row>
    <row r="16" spans="1:15" ht="11.25">
      <c r="A16" s="60"/>
      <c r="B16" s="52" t="s">
        <v>102</v>
      </c>
      <c r="C16" s="52"/>
      <c r="D16" s="48"/>
      <c r="E16" s="48"/>
      <c r="F16" s="48">
        <v>0</v>
      </c>
      <c r="G16" s="62"/>
      <c r="H16" s="62"/>
      <c r="I16" s="63"/>
      <c r="J16" s="55" t="s">
        <v>203</v>
      </c>
      <c r="K16" s="55"/>
      <c r="L16" s="50">
        <v>87032.29827687243</v>
      </c>
      <c r="M16" s="60"/>
      <c r="N16" s="60"/>
      <c r="O16" s="60"/>
    </row>
    <row r="17" spans="1:15" ht="11.25">
      <c r="A17" s="60"/>
      <c r="B17" s="104" t="s">
        <v>89</v>
      </c>
      <c r="C17" s="104"/>
      <c r="D17" s="48"/>
      <c r="E17" s="48"/>
      <c r="F17" s="48">
        <v>0</v>
      </c>
      <c r="G17" s="62"/>
      <c r="H17" s="62"/>
      <c r="I17" s="63"/>
      <c r="J17" s="98" t="s">
        <v>118</v>
      </c>
      <c r="K17" s="98"/>
      <c r="L17" s="99">
        <f>SUM($L15:$L16)</f>
        <v>87378.80327687252</v>
      </c>
      <c r="M17" s="60"/>
      <c r="N17" s="60"/>
      <c r="O17" s="60"/>
    </row>
    <row r="18" spans="1:15" ht="13.5">
      <c r="A18" s="60"/>
      <c r="B18" s="105" t="s">
        <v>243</v>
      </c>
      <c r="C18" s="105"/>
      <c r="D18" s="105"/>
      <c r="E18" s="53"/>
      <c r="F18" s="50">
        <f>SUM($F13:$F17)</f>
        <v>108416.82827687243</v>
      </c>
      <c r="G18" s="51">
        <f>$F18/$F19</f>
        <v>0.3638919998709283</v>
      </c>
      <c r="H18" s="57">
        <f>H1+3</f>
        <v>38022</v>
      </c>
      <c r="I18" s="63"/>
      <c r="J18" s="106" t="s">
        <v>117</v>
      </c>
      <c r="K18" s="106"/>
      <c r="L18" s="85">
        <f>$F19+$L15+$L11+$L13</f>
        <v>298283.3332768725</v>
      </c>
      <c r="M18" s="60"/>
      <c r="N18" s="60"/>
      <c r="O18" s="60"/>
    </row>
    <row r="19" spans="1:15" ht="13.5">
      <c r="A19" s="60"/>
      <c r="B19" s="107" t="s">
        <v>15</v>
      </c>
      <c r="C19" s="107"/>
      <c r="D19" s="107"/>
      <c r="E19" s="54"/>
      <c r="F19" s="74">
        <f>SUM($F12,$F18)</f>
        <v>297936.8282768724</v>
      </c>
      <c r="G19" s="56">
        <f>SUM($G12,$G18)</f>
        <v>1.0000000000000002</v>
      </c>
      <c r="H19" s="66"/>
      <c r="I19" s="63"/>
      <c r="J19" s="60"/>
      <c r="K19" s="60"/>
      <c r="L19" s="60"/>
      <c r="M19" s="60"/>
      <c r="N19" s="60"/>
      <c r="O19" s="60"/>
    </row>
    <row r="20" spans="1:15" ht="11.25">
      <c r="A20" s="60"/>
      <c r="B20" s="60"/>
      <c r="C20" s="60"/>
      <c r="D20" s="60"/>
      <c r="E20" s="60"/>
      <c r="F20" s="60"/>
      <c r="G20" s="66"/>
      <c r="H20" s="67"/>
      <c r="I20" s="63"/>
      <c r="J20" s="60"/>
      <c r="K20" s="60"/>
      <c r="L20" s="60"/>
      <c r="M20" s="60"/>
      <c r="N20" s="60"/>
      <c r="O20" s="60"/>
    </row>
  </sheetData>
  <mergeCells count="18">
    <mergeCell ref="B17:C17"/>
    <mergeCell ref="B18:D18"/>
    <mergeCell ref="J18:K18"/>
    <mergeCell ref="B19:D19"/>
    <mergeCell ref="B13:C13"/>
    <mergeCell ref="J13:K13"/>
    <mergeCell ref="J14:K14"/>
    <mergeCell ref="B15:C15"/>
    <mergeCell ref="J15:K15"/>
    <mergeCell ref="J9:K9"/>
    <mergeCell ref="J10:K10"/>
    <mergeCell ref="J11:K11"/>
    <mergeCell ref="B12:D12"/>
    <mergeCell ref="J12:K12"/>
    <mergeCell ref="H1:J1"/>
    <mergeCell ref="B2:H2"/>
    <mergeCell ref="J6:K6"/>
    <mergeCell ref="J7:L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7"/>
  <sheetViews>
    <sheetView workbookViewId="0" topLeftCell="A1">
      <pane xSplit="9" ySplit="2" topLeftCell="J298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I323" sqref="I323"/>
    </sheetView>
  </sheetViews>
  <sheetFormatPr defaultColWidth="9.140625" defaultRowHeight="21.75"/>
  <cols>
    <col min="1" max="1" width="4.8515625" style="30" bestFit="1" customWidth="1"/>
    <col min="2" max="2" width="7.7109375" style="31" bestFit="1" customWidth="1"/>
    <col min="3" max="3" width="7.421875" style="2" bestFit="1" customWidth="1"/>
    <col min="4" max="4" width="7.7109375" style="36" bestFit="1" customWidth="1"/>
    <col min="5" max="5" width="20.57421875" style="44" bestFit="1" customWidth="1"/>
    <col min="6" max="6" width="6.8515625" style="5" bestFit="1" customWidth="1"/>
    <col min="7" max="7" width="8.57421875" style="19" bestFit="1" customWidth="1"/>
    <col min="8" max="8" width="7.7109375" style="36" customWidth="1"/>
    <col min="9" max="9" width="20.57421875" style="44" bestFit="1" customWidth="1"/>
    <col min="10" max="16384" width="9.140625" style="2" customWidth="1"/>
  </cols>
  <sheetData>
    <row r="1" spans="1:9" ht="12" thickBot="1">
      <c r="A1" s="116" t="s">
        <v>16</v>
      </c>
      <c r="B1" s="117"/>
      <c r="C1" s="117"/>
      <c r="D1" s="117"/>
      <c r="E1" s="117"/>
      <c r="F1" s="117"/>
      <c r="G1" s="117"/>
      <c r="H1" s="117"/>
      <c r="I1" s="118"/>
    </row>
    <row r="2" spans="1:9" ht="12" thickBot="1">
      <c r="A2" s="23" t="s">
        <v>0</v>
      </c>
      <c r="B2" s="24" t="s">
        <v>14</v>
      </c>
      <c r="C2" s="25" t="s">
        <v>17</v>
      </c>
      <c r="D2" s="26" t="s">
        <v>18</v>
      </c>
      <c r="E2" s="26" t="s">
        <v>21</v>
      </c>
      <c r="F2" s="27" t="s">
        <v>19</v>
      </c>
      <c r="G2" s="28" t="s">
        <v>17</v>
      </c>
      <c r="H2" s="29" t="s">
        <v>18</v>
      </c>
      <c r="I2" s="29" t="s">
        <v>21</v>
      </c>
    </row>
    <row r="3" spans="1:11" ht="11.25">
      <c r="A3" s="30" t="s">
        <v>22</v>
      </c>
      <c r="B3" s="31">
        <v>10.127806642857143</v>
      </c>
      <c r="C3" s="32">
        <v>0</v>
      </c>
      <c r="D3" s="33">
        <v>0</v>
      </c>
      <c r="E3" s="34">
        <f>(B3-$B$3)/$B$3</f>
        <v>0</v>
      </c>
      <c r="F3" s="5">
        <v>344.28</v>
      </c>
      <c r="G3" s="19">
        <v>0</v>
      </c>
      <c r="H3" s="33">
        <v>0</v>
      </c>
      <c r="I3" s="34">
        <f>(F3-$F$3)/$F$3</f>
        <v>0</v>
      </c>
      <c r="K3" s="35"/>
    </row>
    <row r="4" spans="1:11" ht="11.25">
      <c r="A4" s="30" t="s">
        <v>20</v>
      </c>
      <c r="B4" s="31">
        <v>10.295216678571428</v>
      </c>
      <c r="C4" s="9">
        <f aca="true" t="shared" si="0" ref="C4:C107">$B4-$B3</f>
        <v>0.16741003571428514</v>
      </c>
      <c r="D4" s="36">
        <f aca="true" t="shared" si="1" ref="D4:D71">$C4/$B3</f>
        <v>0.0165297424820363</v>
      </c>
      <c r="E4" s="34">
        <f aca="true" t="shared" si="2" ref="E4:E67">(B4-$B$3)/$B$3</f>
        <v>0.0165297424820363</v>
      </c>
      <c r="F4" s="5">
        <v>346.21</v>
      </c>
      <c r="G4" s="19">
        <f aca="true" t="shared" si="3" ref="G4:G105">$F4-$F3</f>
        <v>1.9300000000000068</v>
      </c>
      <c r="H4" s="36">
        <f aca="true" t="shared" si="4" ref="H4:H105">$G4/$F3</f>
        <v>0.005605902172650189</v>
      </c>
      <c r="I4" s="34">
        <f aca="true" t="shared" si="5" ref="I4:I67">(F4-$F$3)/$F$3</f>
        <v>0.005605902172650189</v>
      </c>
      <c r="K4" s="35"/>
    </row>
    <row r="5" spans="1:11" ht="11.25">
      <c r="A5" s="30" t="s">
        <v>27</v>
      </c>
      <c r="B5" s="31">
        <v>10.529749142857144</v>
      </c>
      <c r="C5" s="9">
        <f t="shared" si="0"/>
        <v>0.2345324642857154</v>
      </c>
      <c r="D5" s="36">
        <f t="shared" si="1"/>
        <v>0.022780721533901635</v>
      </c>
      <c r="E5" s="34">
        <f t="shared" si="2"/>
        <v>0.039687023476448306</v>
      </c>
      <c r="F5" s="5">
        <v>346.59</v>
      </c>
      <c r="G5" s="19">
        <f t="shared" si="3"/>
        <v>0.37999999999999545</v>
      </c>
      <c r="H5" s="36">
        <f t="shared" si="4"/>
        <v>0.0010975997227116359</v>
      </c>
      <c r="I5" s="34">
        <f t="shared" si="5"/>
        <v>0.006709654932032074</v>
      </c>
      <c r="K5" s="35"/>
    </row>
    <row r="6" spans="1:11" s="40" customFormat="1" ht="11.25">
      <c r="A6" s="37" t="s">
        <v>28</v>
      </c>
      <c r="B6" s="38">
        <v>10.640004857142857</v>
      </c>
      <c r="C6" s="9">
        <f t="shared" si="0"/>
        <v>0.11025571428571368</v>
      </c>
      <c r="D6" s="36">
        <f t="shared" si="1"/>
        <v>0.010470877585958983</v>
      </c>
      <c r="E6" s="34">
        <f t="shared" si="2"/>
        <v>0.05057345902698026</v>
      </c>
      <c r="F6" s="39">
        <v>348.46</v>
      </c>
      <c r="G6" s="19">
        <f t="shared" si="3"/>
        <v>1.8700000000000045</v>
      </c>
      <c r="H6" s="36">
        <f t="shared" si="4"/>
        <v>0.005395423987997359</v>
      </c>
      <c r="I6" s="34">
        <f t="shared" si="5"/>
        <v>0.012141280353200903</v>
      </c>
      <c r="K6" s="35"/>
    </row>
    <row r="7" spans="1:11" ht="11.25">
      <c r="A7" s="30" t="s">
        <v>29</v>
      </c>
      <c r="B7" s="31">
        <v>10.759629714285714</v>
      </c>
      <c r="C7" s="9">
        <f t="shared" si="0"/>
        <v>0.1196248571428562</v>
      </c>
      <c r="D7" s="36">
        <f t="shared" si="1"/>
        <v>0.011242932569015656</v>
      </c>
      <c r="E7" s="34">
        <f t="shared" si="2"/>
        <v>0.06238498558561813</v>
      </c>
      <c r="F7" s="5">
        <v>357.42</v>
      </c>
      <c r="G7" s="19">
        <f t="shared" si="3"/>
        <v>8.960000000000036</v>
      </c>
      <c r="H7" s="36">
        <f t="shared" si="4"/>
        <v>0.025713137806348037</v>
      </c>
      <c r="I7" s="34">
        <f t="shared" si="5"/>
        <v>0.038166608574416304</v>
      </c>
      <c r="K7" s="35"/>
    </row>
    <row r="8" spans="1:11" ht="11.25">
      <c r="A8" s="37" t="s">
        <v>30</v>
      </c>
      <c r="B8" s="38">
        <v>10.71989417857143</v>
      </c>
      <c r="C8" s="9">
        <f t="shared" si="0"/>
        <v>-0.0397355357142839</v>
      </c>
      <c r="D8" s="36">
        <f t="shared" si="1"/>
        <v>-0.0036930207422962206</v>
      </c>
      <c r="E8" s="34">
        <f t="shared" si="2"/>
        <v>0.05846157579754637</v>
      </c>
      <c r="F8" s="39">
        <v>353.95</v>
      </c>
      <c r="G8" s="19">
        <f t="shared" si="3"/>
        <v>-3.4700000000000273</v>
      </c>
      <c r="H8" s="36">
        <f t="shared" si="4"/>
        <v>-0.009708466230205437</v>
      </c>
      <c r="I8" s="34">
        <f t="shared" si="5"/>
        <v>0.028087603113744676</v>
      </c>
      <c r="K8" s="35"/>
    </row>
    <row r="9" spans="1:9" ht="11.25">
      <c r="A9" s="37" t="s">
        <v>31</v>
      </c>
      <c r="B9" s="38">
        <v>10.748465607142858</v>
      </c>
      <c r="C9" s="9">
        <f t="shared" si="0"/>
        <v>0.02857142857142847</v>
      </c>
      <c r="D9" s="36">
        <f t="shared" si="1"/>
        <v>0.002665271512524949</v>
      </c>
      <c r="E9" s="34">
        <f t="shared" si="2"/>
        <v>0.06128266328262184</v>
      </c>
      <c r="F9" s="39">
        <v>355</v>
      </c>
      <c r="G9" s="19">
        <f t="shared" si="3"/>
        <v>1.0500000000000114</v>
      </c>
      <c r="H9" s="36">
        <f t="shared" si="4"/>
        <v>0.002966520695013452</v>
      </c>
      <c r="I9" s="34">
        <f t="shared" si="5"/>
        <v>0.031137446264668377</v>
      </c>
    </row>
    <row r="10" spans="1:9" ht="11.25">
      <c r="A10" s="37" t="s">
        <v>32</v>
      </c>
      <c r="B10" s="38">
        <v>10.780608464285715</v>
      </c>
      <c r="C10" s="9">
        <f t="shared" si="0"/>
        <v>0.032142857142856585</v>
      </c>
      <c r="D10" s="36">
        <f t="shared" si="1"/>
        <v>0.0029904600635737395</v>
      </c>
      <c r="E10" s="34">
        <f t="shared" si="2"/>
        <v>0.06445638670333169</v>
      </c>
      <c r="F10" s="39">
        <v>357.22</v>
      </c>
      <c r="G10" s="19">
        <f t="shared" si="3"/>
        <v>2.2200000000000273</v>
      </c>
      <c r="H10" s="36">
        <f t="shared" si="4"/>
        <v>0.00625352112676064</v>
      </c>
      <c r="I10" s="34">
        <f t="shared" si="5"/>
        <v>0.03758568606947849</v>
      </c>
    </row>
    <row r="11" spans="1:9" ht="11.25">
      <c r="A11" s="30" t="s">
        <v>33</v>
      </c>
      <c r="B11" s="31">
        <v>10.987751321428572</v>
      </c>
      <c r="C11" s="9">
        <f t="shared" si="0"/>
        <v>0.2071428571428573</v>
      </c>
      <c r="D11" s="36">
        <f t="shared" si="1"/>
        <v>0.01921439386553047</v>
      </c>
      <c r="E11" s="34">
        <f t="shared" si="2"/>
        <v>0.08490927097012892</v>
      </c>
      <c r="F11" s="5">
        <v>357.68</v>
      </c>
      <c r="G11" s="19">
        <f t="shared" si="3"/>
        <v>0.45999999999997954</v>
      </c>
      <c r="H11" s="36">
        <f t="shared" si="4"/>
        <v>0.0012877218520798933</v>
      </c>
      <c r="I11" s="34">
        <f t="shared" si="5"/>
        <v>0.038921807830835466</v>
      </c>
    </row>
    <row r="12" spans="1:9" ht="11.25">
      <c r="A12" s="37" t="s">
        <v>34</v>
      </c>
      <c r="B12" s="38">
        <v>10.891769357142858</v>
      </c>
      <c r="C12" s="9">
        <f t="shared" si="0"/>
        <v>-0.09598196428571448</v>
      </c>
      <c r="D12" s="36">
        <f t="shared" si="1"/>
        <v>-0.008735360082142393</v>
      </c>
      <c r="E12" s="34">
        <f t="shared" si="2"/>
        <v>0.07543219783175024</v>
      </c>
      <c r="F12" s="39">
        <v>358.8</v>
      </c>
      <c r="G12" s="19">
        <f t="shared" si="3"/>
        <v>1.1200000000000045</v>
      </c>
      <c r="H12" s="36">
        <f t="shared" si="4"/>
        <v>0.0031312905390293126</v>
      </c>
      <c r="I12" s="34">
        <f t="shared" si="5"/>
        <v>0.0421749738584874</v>
      </c>
    </row>
    <row r="13" spans="1:9" s="40" customFormat="1" ht="11.25">
      <c r="A13" s="37" t="s">
        <v>35</v>
      </c>
      <c r="B13" s="38">
        <v>10.556055071428572</v>
      </c>
      <c r="C13" s="9">
        <f t="shared" si="0"/>
        <v>-0.3357142857142854</v>
      </c>
      <c r="D13" s="36">
        <f t="shared" si="1"/>
        <v>-0.030822750161719398</v>
      </c>
      <c r="E13" s="34">
        <f t="shared" si="2"/>
        <v>0.04228441988211342</v>
      </c>
      <c r="F13" s="39">
        <v>355.77</v>
      </c>
      <c r="G13" s="19">
        <f t="shared" si="3"/>
        <v>-3.0300000000000296</v>
      </c>
      <c r="H13" s="36">
        <f t="shared" si="4"/>
        <v>-0.008444816053511788</v>
      </c>
      <c r="I13" s="34">
        <f t="shared" si="5"/>
        <v>0.03337399790867901</v>
      </c>
    </row>
    <row r="14" spans="1:9" s="40" customFormat="1" ht="11.25">
      <c r="A14" s="37" t="s">
        <v>36</v>
      </c>
      <c r="B14" s="38">
        <v>10.524199433962265</v>
      </c>
      <c r="C14" s="9">
        <f t="shared" si="0"/>
        <v>-0.031855637466307485</v>
      </c>
      <c r="D14" s="36">
        <f t="shared" si="1"/>
        <v>-0.003017759688705034</v>
      </c>
      <c r="E14" s="34">
        <f t="shared" si="2"/>
        <v>0.03913905597562787</v>
      </c>
      <c r="F14" s="39">
        <v>353.8</v>
      </c>
      <c r="G14" s="19">
        <f t="shared" si="3"/>
        <v>-1.9699999999999704</v>
      </c>
      <c r="H14" s="36">
        <f t="shared" si="4"/>
        <v>-0.005537285324788404</v>
      </c>
      <c r="I14" s="34">
        <f t="shared" si="5"/>
        <v>0.02765191123504136</v>
      </c>
    </row>
    <row r="15" spans="1:9" s="40" customFormat="1" ht="11.25">
      <c r="A15" s="37" t="s">
        <v>37</v>
      </c>
      <c r="B15" s="38">
        <v>10.646840943396226</v>
      </c>
      <c r="C15" s="9">
        <f t="shared" si="0"/>
        <v>0.12264150943396146</v>
      </c>
      <c r="D15" s="36">
        <f t="shared" si="1"/>
        <v>0.011653286333418337</v>
      </c>
      <c r="E15" s="34">
        <f t="shared" si="2"/>
        <v>0.05124844093514989</v>
      </c>
      <c r="F15" s="39">
        <v>357.46</v>
      </c>
      <c r="G15" s="19">
        <f t="shared" si="3"/>
        <v>3.659999999999968</v>
      </c>
      <c r="H15" s="36">
        <f t="shared" si="4"/>
        <v>0.010344827586206806</v>
      </c>
      <c r="I15" s="34">
        <f t="shared" si="5"/>
        <v>0.03828279307540376</v>
      </c>
    </row>
    <row r="16" spans="1:9" s="40" customFormat="1" ht="11.25">
      <c r="A16" s="37" t="s">
        <v>38</v>
      </c>
      <c r="B16" s="38">
        <v>10.616537012578616</v>
      </c>
      <c r="C16" s="9">
        <f t="shared" si="0"/>
        <v>-0.030303930817609626</v>
      </c>
      <c r="D16" s="36">
        <f t="shared" si="1"/>
        <v>-0.0028462837924150487</v>
      </c>
      <c r="E16" s="34">
        <f t="shared" si="2"/>
        <v>0.04825628953591458</v>
      </c>
      <c r="F16" s="39">
        <v>355</v>
      </c>
      <c r="G16" s="19">
        <f t="shared" si="3"/>
        <v>-2.4599999999999795</v>
      </c>
      <c r="H16" s="36">
        <f t="shared" si="4"/>
        <v>-0.00688188888267213</v>
      </c>
      <c r="I16" s="34">
        <f t="shared" si="5"/>
        <v>0.031137446264668377</v>
      </c>
    </row>
    <row r="17" spans="1:9" ht="11.25">
      <c r="A17" s="30" t="s">
        <v>39</v>
      </c>
      <c r="B17" s="31">
        <v>10.659580628930817</v>
      </c>
      <c r="C17" s="9">
        <f t="shared" si="0"/>
        <v>0.04304361635220033</v>
      </c>
      <c r="D17" s="36">
        <f t="shared" si="1"/>
        <v>0.004054393282969924</v>
      </c>
      <c r="E17" s="34">
        <f t="shared" si="2"/>
        <v>0.05250633279503997</v>
      </c>
      <c r="F17" s="5">
        <v>350.36</v>
      </c>
      <c r="G17" s="19">
        <f t="shared" si="3"/>
        <v>-4.639999999999986</v>
      </c>
      <c r="H17" s="36">
        <f t="shared" si="4"/>
        <v>-0.01307042253521123</v>
      </c>
      <c r="I17" s="34">
        <f t="shared" si="5"/>
        <v>0.017660044150110497</v>
      </c>
    </row>
    <row r="18" spans="1:9" ht="11.25">
      <c r="A18" s="30" t="s">
        <v>40</v>
      </c>
      <c r="B18" s="31">
        <v>10.467873081761006</v>
      </c>
      <c r="C18" s="9">
        <f t="shared" si="0"/>
        <v>-0.19170754716981087</v>
      </c>
      <c r="D18" s="36">
        <f t="shared" si="1"/>
        <v>-0.017984529958852576</v>
      </c>
      <c r="E18" s="34">
        <f t="shared" si="2"/>
        <v>0.033577501121005514</v>
      </c>
      <c r="F18" s="5">
        <v>345.07</v>
      </c>
      <c r="G18" s="19">
        <f t="shared" si="3"/>
        <v>-5.2900000000000205</v>
      </c>
      <c r="H18" s="36">
        <f t="shared" si="4"/>
        <v>-0.015098755565703906</v>
      </c>
      <c r="I18" s="34">
        <f t="shared" si="5"/>
        <v>0.002294643894504533</v>
      </c>
    </row>
    <row r="19" spans="1:9" s="40" customFormat="1" ht="11.25">
      <c r="A19" s="37" t="s">
        <v>41</v>
      </c>
      <c r="B19" s="38">
        <v>10.455294465408805</v>
      </c>
      <c r="C19" s="41">
        <f t="shared" si="0"/>
        <v>-0.012578616352200811</v>
      </c>
      <c r="D19" s="42">
        <f t="shared" si="1"/>
        <v>-0.0012016401282240914</v>
      </c>
      <c r="E19" s="34">
        <f t="shared" si="2"/>
        <v>0.03233551292002893</v>
      </c>
      <c r="F19" s="39">
        <v>343.67</v>
      </c>
      <c r="G19" s="43">
        <f t="shared" si="3"/>
        <v>-1.3999999999999773</v>
      </c>
      <c r="H19" s="42">
        <f t="shared" si="4"/>
        <v>-0.004057147825078903</v>
      </c>
      <c r="I19" s="34">
        <f t="shared" si="5"/>
        <v>-0.0017718136400602907</v>
      </c>
    </row>
    <row r="20" spans="1:9" ht="11.25">
      <c r="A20" s="30" t="s">
        <v>42</v>
      </c>
      <c r="B20" s="31">
        <v>10.417558616352201</v>
      </c>
      <c r="C20" s="41">
        <f t="shared" si="0"/>
        <v>-0.03773584905660421</v>
      </c>
      <c r="D20" s="42">
        <f t="shared" si="1"/>
        <v>-0.0036092574132132516</v>
      </c>
      <c r="E20" s="34">
        <f t="shared" si="2"/>
        <v>0.028609548317099012</v>
      </c>
      <c r="F20" s="5">
        <v>348.95</v>
      </c>
      <c r="G20" s="43">
        <f t="shared" si="3"/>
        <v>5.279999999999973</v>
      </c>
      <c r="H20" s="42">
        <f t="shared" si="4"/>
        <v>0.015363575523030734</v>
      </c>
      <c r="I20" s="34">
        <f t="shared" si="5"/>
        <v>0.013564540490298642</v>
      </c>
    </row>
    <row r="21" spans="1:9" s="40" customFormat="1" ht="11.25">
      <c r="A21" s="37" t="s">
        <v>43</v>
      </c>
      <c r="B21" s="38">
        <v>10.114812389937107</v>
      </c>
      <c r="C21" s="41">
        <f t="shared" si="0"/>
        <v>-0.30274622641509374</v>
      </c>
      <c r="D21" s="42">
        <f t="shared" si="1"/>
        <v>-0.02906114931188196</v>
      </c>
      <c r="E21" s="34">
        <f t="shared" si="2"/>
        <v>-0.001283027350171664</v>
      </c>
      <c r="F21" s="39">
        <v>356.24</v>
      </c>
      <c r="G21" s="43">
        <f t="shared" si="3"/>
        <v>7.2900000000000205</v>
      </c>
      <c r="H21" s="42">
        <f t="shared" si="4"/>
        <v>0.02089124516406368</v>
      </c>
      <c r="I21" s="34">
        <f t="shared" si="5"/>
        <v>0.034739165795283015</v>
      </c>
    </row>
    <row r="22" spans="1:9" ht="11.25">
      <c r="A22" s="30" t="s">
        <v>44</v>
      </c>
      <c r="B22" s="31">
        <v>10.156026540880502</v>
      </c>
      <c r="C22" s="41">
        <f t="shared" si="0"/>
        <v>0.041214150943394756</v>
      </c>
      <c r="D22" s="42">
        <f t="shared" si="1"/>
        <v>0.004074633256114305</v>
      </c>
      <c r="E22" s="34">
        <f t="shared" si="2"/>
        <v>0.002786378040033128</v>
      </c>
      <c r="F22" s="5">
        <v>357.1</v>
      </c>
      <c r="G22" s="43">
        <f t="shared" si="3"/>
        <v>0.8600000000000136</v>
      </c>
      <c r="H22" s="42">
        <f t="shared" si="4"/>
        <v>0.002414102852009919</v>
      </c>
      <c r="I22" s="34">
        <f t="shared" si="5"/>
        <v>0.03723713256651578</v>
      </c>
    </row>
    <row r="23" spans="1:9" ht="11.25">
      <c r="A23" s="30" t="s">
        <v>45</v>
      </c>
      <c r="B23" s="31">
        <v>9.992971792452831</v>
      </c>
      <c r="C23" s="41">
        <f t="shared" si="0"/>
        <v>-0.16305474842767076</v>
      </c>
      <c r="D23" s="42">
        <f t="shared" si="1"/>
        <v>-0.01605497462726543</v>
      </c>
      <c r="E23" s="34">
        <f t="shared" si="2"/>
        <v>-0.013313331815967003</v>
      </c>
      <c r="F23" s="5">
        <v>353.62</v>
      </c>
      <c r="G23" s="43">
        <f t="shared" si="3"/>
        <v>-3.480000000000018</v>
      </c>
      <c r="H23" s="42">
        <f t="shared" si="4"/>
        <v>-0.00974516942033049</v>
      </c>
      <c r="I23" s="34">
        <f t="shared" si="5"/>
        <v>0.027129080980597284</v>
      </c>
    </row>
    <row r="24" spans="1:9" ht="11.25">
      <c r="A24" s="30" t="s">
        <v>46</v>
      </c>
      <c r="B24" s="31">
        <v>10.082594433962266</v>
      </c>
      <c r="C24" s="41">
        <f t="shared" si="0"/>
        <v>0.08962264150943433</v>
      </c>
      <c r="D24" s="42">
        <f t="shared" si="1"/>
        <v>0.00896856744628476</v>
      </c>
      <c r="E24" s="34">
        <f t="shared" si="2"/>
        <v>-0.004464165884008513</v>
      </c>
      <c r="F24" s="5">
        <v>352.18</v>
      </c>
      <c r="G24" s="43">
        <f t="shared" si="3"/>
        <v>-1.4399999999999977</v>
      </c>
      <c r="H24" s="42">
        <f t="shared" si="4"/>
        <v>-0.004072167863808602</v>
      </c>
      <c r="I24" s="34">
        <f t="shared" si="5"/>
        <v>0.022946438945044834</v>
      </c>
    </row>
    <row r="25" spans="1:9" ht="11.25">
      <c r="A25" s="30" t="s">
        <v>47</v>
      </c>
      <c r="B25" s="31">
        <v>10.130088475986048</v>
      </c>
      <c r="C25" s="41">
        <f t="shared" si="0"/>
        <v>0.04749404202378216</v>
      </c>
      <c r="D25" s="42">
        <f t="shared" si="1"/>
        <v>0.004710498109871698</v>
      </c>
      <c r="E25" s="34">
        <f t="shared" si="2"/>
        <v>0.00022530378090440952</v>
      </c>
      <c r="F25" s="5">
        <v>358.44</v>
      </c>
      <c r="G25" s="43">
        <f t="shared" si="3"/>
        <v>6.259999999999991</v>
      </c>
      <c r="H25" s="42">
        <f t="shared" si="4"/>
        <v>0.01777500141972852</v>
      </c>
      <c r="I25" s="34">
        <f t="shared" si="5"/>
        <v>0.04112931334959924</v>
      </c>
    </row>
    <row r="26" spans="1:9" ht="11.25">
      <c r="A26" s="30" t="s">
        <v>48</v>
      </c>
      <c r="B26" s="31">
        <v>10.219440166353635</v>
      </c>
      <c r="C26" s="41">
        <f t="shared" si="0"/>
        <v>0.08935169036758772</v>
      </c>
      <c r="D26" s="42">
        <f t="shared" si="1"/>
        <v>0.008820425466115226</v>
      </c>
      <c r="E26" s="34">
        <f t="shared" si="2"/>
        <v>0.009047716522226338</v>
      </c>
      <c r="F26" s="5">
        <v>362.59</v>
      </c>
      <c r="G26" s="43">
        <f t="shared" si="3"/>
        <v>4.149999999999977</v>
      </c>
      <c r="H26" s="42">
        <f t="shared" si="4"/>
        <v>0.01157794888963279</v>
      </c>
      <c r="I26" s="34">
        <f t="shared" si="5"/>
        <v>0.053183455327059384</v>
      </c>
    </row>
    <row r="27" spans="1:9" ht="11.25">
      <c r="A27" s="30" t="s">
        <v>49</v>
      </c>
      <c r="B27" s="31">
        <v>10.219440166353635</v>
      </c>
      <c r="C27" s="41">
        <f t="shared" si="0"/>
        <v>0</v>
      </c>
      <c r="D27" s="42">
        <f t="shared" si="1"/>
        <v>0</v>
      </c>
      <c r="E27" s="34">
        <f t="shared" si="2"/>
        <v>0.009047716522226338</v>
      </c>
      <c r="F27" s="5">
        <v>364.53</v>
      </c>
      <c r="G27" s="43">
        <f t="shared" si="3"/>
        <v>1.9399999999999977</v>
      </c>
      <c r="H27" s="42">
        <f t="shared" si="4"/>
        <v>0.005350395763810359</v>
      </c>
      <c r="I27" s="34">
        <f t="shared" si="5"/>
        <v>0.05881840362495643</v>
      </c>
    </row>
    <row r="28" spans="1:9" ht="11.25">
      <c r="A28" s="30" t="s">
        <v>50</v>
      </c>
      <c r="B28" s="31">
        <v>10.192638683928092</v>
      </c>
      <c r="C28" s="41">
        <f t="shared" si="0"/>
        <v>-0.02680148242554381</v>
      </c>
      <c r="D28" s="42">
        <f t="shared" si="1"/>
        <v>-0.002622597910381108</v>
      </c>
      <c r="E28" s="34">
        <f t="shared" si="2"/>
        <v>0.006401390089400318</v>
      </c>
      <c r="F28" s="5">
        <v>361.21</v>
      </c>
      <c r="G28" s="43">
        <f t="shared" si="3"/>
        <v>-3.319999999999993</v>
      </c>
      <c r="H28" s="42">
        <f t="shared" si="4"/>
        <v>-0.009107618028694465</v>
      </c>
      <c r="I28" s="34">
        <f t="shared" si="5"/>
        <v>0.04917509004298829</v>
      </c>
    </row>
    <row r="29" spans="1:9" ht="11.25">
      <c r="A29" s="30" t="s">
        <v>51</v>
      </c>
      <c r="B29" s="31">
        <v>10.162453548430372</v>
      </c>
      <c r="C29" s="41">
        <f t="shared" si="0"/>
        <v>-0.030185135497719173</v>
      </c>
      <c r="D29" s="42">
        <f t="shared" si="1"/>
        <v>-0.0029614642914121496</v>
      </c>
      <c r="E29" s="34">
        <f t="shared" si="2"/>
        <v>0.003420968309823009</v>
      </c>
      <c r="F29" s="5">
        <v>361.35</v>
      </c>
      <c r="G29" s="43">
        <f t="shared" si="3"/>
        <v>0.1400000000000432</v>
      </c>
      <c r="H29" s="42">
        <f t="shared" si="4"/>
        <v>0.00038758616871084194</v>
      </c>
      <c r="I29" s="34">
        <f t="shared" si="5"/>
        <v>0.049581735796444905</v>
      </c>
    </row>
    <row r="30" spans="1:9" ht="11.25">
      <c r="A30" s="30" t="s">
        <v>52</v>
      </c>
      <c r="B30" s="31">
        <v>10.132268412932653</v>
      </c>
      <c r="C30" s="41">
        <f t="shared" si="0"/>
        <v>-0.030185135497719173</v>
      </c>
      <c r="D30" s="42">
        <f t="shared" si="1"/>
        <v>-0.0029702606121512235</v>
      </c>
      <c r="E30" s="34">
        <f t="shared" si="2"/>
        <v>0.00044054653024570086</v>
      </c>
      <c r="F30" s="5">
        <v>364.29</v>
      </c>
      <c r="G30" s="43">
        <f t="shared" si="3"/>
        <v>2.9399999999999977</v>
      </c>
      <c r="H30" s="42">
        <f t="shared" si="4"/>
        <v>0.008136156081361553</v>
      </c>
      <c r="I30" s="34">
        <f t="shared" si="5"/>
        <v>0.05812129661903116</v>
      </c>
    </row>
    <row r="31" spans="1:9" ht="11.25">
      <c r="A31" s="30" t="s">
        <v>53</v>
      </c>
      <c r="B31" s="31">
        <v>10.270685919931246</v>
      </c>
      <c r="C31" s="41">
        <f t="shared" si="0"/>
        <v>0.1384175069985929</v>
      </c>
      <c r="D31" s="42">
        <f t="shared" si="1"/>
        <v>0.013661058053092945</v>
      </c>
      <c r="E31" s="34">
        <f t="shared" si="2"/>
        <v>0.014107622915063421</v>
      </c>
      <c r="F31" s="5">
        <v>364.9</v>
      </c>
      <c r="G31" s="43">
        <f t="shared" si="3"/>
        <v>0.6099999999999568</v>
      </c>
      <c r="H31" s="42">
        <f t="shared" si="4"/>
        <v>0.001674490104037873</v>
      </c>
      <c r="I31" s="34">
        <f t="shared" si="5"/>
        <v>0.059893110259091456</v>
      </c>
    </row>
    <row r="32" spans="1:9" ht="11.25">
      <c r="A32" s="30" t="s">
        <v>54</v>
      </c>
      <c r="B32" s="31">
        <v>10.270685919931246</v>
      </c>
      <c r="C32" s="41">
        <f t="shared" si="0"/>
        <v>0</v>
      </c>
      <c r="D32" s="42">
        <f t="shared" si="1"/>
        <v>0</v>
      </c>
      <c r="E32" s="34">
        <f t="shared" si="2"/>
        <v>0.014107622915063421</v>
      </c>
      <c r="F32" s="5">
        <v>366.67</v>
      </c>
      <c r="G32" s="43">
        <f t="shared" si="3"/>
        <v>1.7700000000000387</v>
      </c>
      <c r="H32" s="42">
        <f t="shared" si="4"/>
        <v>0.004850644012058205</v>
      </c>
      <c r="I32" s="34">
        <f t="shared" si="5"/>
        <v>0.06503427442779146</v>
      </c>
    </row>
    <row r="33" spans="1:9" ht="11.25">
      <c r="A33" s="30" t="s">
        <v>55</v>
      </c>
      <c r="B33" s="31">
        <v>10.14177379502972</v>
      </c>
      <c r="C33" s="41">
        <f t="shared" si="0"/>
        <v>-0.12891212490152526</v>
      </c>
      <c r="D33" s="42">
        <f t="shared" si="1"/>
        <v>-0.012551462084081354</v>
      </c>
      <c r="E33" s="34">
        <f t="shared" si="2"/>
        <v>0.0013790895368671313</v>
      </c>
      <c r="F33" s="5">
        <v>364.19</v>
      </c>
      <c r="G33" s="43">
        <f t="shared" si="3"/>
        <v>-2.480000000000018</v>
      </c>
      <c r="H33" s="42">
        <f t="shared" si="4"/>
        <v>-0.006763574876592081</v>
      </c>
      <c r="I33" s="34">
        <f t="shared" si="5"/>
        <v>0.05783083536656218</v>
      </c>
    </row>
    <row r="34" spans="1:9" ht="11.25">
      <c r="A34" s="30" t="s">
        <v>56</v>
      </c>
      <c r="B34" s="31">
        <v>10.10954576380434</v>
      </c>
      <c r="C34" s="41">
        <f t="shared" si="0"/>
        <v>-0.032228031225381315</v>
      </c>
      <c r="D34" s="42">
        <f t="shared" si="1"/>
        <v>-0.003177750941474915</v>
      </c>
      <c r="E34" s="34">
        <f t="shared" si="2"/>
        <v>-0.0018030438076819413</v>
      </c>
      <c r="F34" s="5">
        <v>364.94</v>
      </c>
      <c r="G34" s="43">
        <f t="shared" si="3"/>
        <v>0.75</v>
      </c>
      <c r="H34" s="42">
        <f t="shared" si="4"/>
        <v>0.002059364617370054</v>
      </c>
      <c r="I34" s="34">
        <f t="shared" si="5"/>
        <v>0.06000929476007908</v>
      </c>
    </row>
    <row r="35" spans="1:9" ht="11.25">
      <c r="A35" s="30" t="s">
        <v>57</v>
      </c>
      <c r="B35" s="31">
        <v>10.088060409654085</v>
      </c>
      <c r="C35" s="41">
        <f t="shared" si="0"/>
        <v>-0.02148535415025421</v>
      </c>
      <c r="D35" s="42">
        <f t="shared" si="1"/>
        <v>-0.0021252541560451894</v>
      </c>
      <c r="E35" s="34">
        <f t="shared" si="2"/>
        <v>-0.003924466037381323</v>
      </c>
      <c r="F35" s="5">
        <v>365.09</v>
      </c>
      <c r="G35" s="43">
        <f t="shared" si="3"/>
        <v>0.14999999999997726</v>
      </c>
      <c r="H35" s="42">
        <f t="shared" si="4"/>
        <v>0.00041102647010461246</v>
      </c>
      <c r="I35" s="34">
        <f t="shared" si="5"/>
        <v>0.0604449866387824</v>
      </c>
    </row>
    <row r="36" spans="1:9" ht="11.25">
      <c r="A36" s="30" t="s">
        <v>58</v>
      </c>
      <c r="B36" s="31">
        <v>10.055832378428704</v>
      </c>
      <c r="C36" s="41">
        <f t="shared" si="0"/>
        <v>-0.032228031225381315</v>
      </c>
      <c r="D36" s="42">
        <f t="shared" si="1"/>
        <v>-0.003194670721295413</v>
      </c>
      <c r="E36" s="34">
        <f t="shared" si="2"/>
        <v>-0.007106599381930395</v>
      </c>
      <c r="F36" s="5">
        <v>365.35</v>
      </c>
      <c r="G36" s="43">
        <f t="shared" si="3"/>
        <v>0.26000000000004775</v>
      </c>
      <c r="H36" s="42">
        <f t="shared" si="4"/>
        <v>0.0007121531677122019</v>
      </c>
      <c r="I36" s="34">
        <f t="shared" si="5"/>
        <v>0.06120018589520173</v>
      </c>
    </row>
    <row r="37" spans="1:9" ht="11.25">
      <c r="A37" s="30" t="s">
        <v>59</v>
      </c>
      <c r="B37" s="31">
        <v>10.145985282532406</v>
      </c>
      <c r="C37" s="41">
        <f t="shared" si="0"/>
        <v>0.09015290410370191</v>
      </c>
      <c r="D37" s="42">
        <f t="shared" si="1"/>
        <v>0.008965235368987818</v>
      </c>
      <c r="E37" s="34">
        <f t="shared" si="2"/>
        <v>0.0017949236509253136</v>
      </c>
      <c r="F37" s="5">
        <v>365.46</v>
      </c>
      <c r="G37" s="43">
        <f t="shared" si="3"/>
        <v>0.1099999999999568</v>
      </c>
      <c r="H37" s="42">
        <f t="shared" si="4"/>
        <v>0.00030108115505667656</v>
      </c>
      <c r="I37" s="34">
        <f t="shared" si="5"/>
        <v>0.06151969327291742</v>
      </c>
    </row>
    <row r="38" spans="1:9" ht="11.25">
      <c r="A38" s="30" t="s">
        <v>60</v>
      </c>
      <c r="B38" s="31">
        <v>10.221184022058296</v>
      </c>
      <c r="C38" s="41">
        <f t="shared" si="0"/>
        <v>0.07519873952588974</v>
      </c>
      <c r="D38" s="42">
        <f t="shared" si="1"/>
        <v>0.007411674414248743</v>
      </c>
      <c r="E38" s="34">
        <f t="shared" si="2"/>
        <v>0.009219901454873149</v>
      </c>
      <c r="F38" s="5">
        <v>361.46</v>
      </c>
      <c r="G38" s="43">
        <f t="shared" si="3"/>
        <v>-4</v>
      </c>
      <c r="H38" s="42">
        <f t="shared" si="4"/>
        <v>-0.01094511027198599</v>
      </c>
      <c r="I38" s="34">
        <f t="shared" si="5"/>
        <v>0.049901243174160594</v>
      </c>
    </row>
    <row r="39" spans="1:9" ht="11.25">
      <c r="A39" s="30" t="s">
        <v>61</v>
      </c>
      <c r="B39" s="31">
        <v>10.163889744324285</v>
      </c>
      <c r="C39" s="41">
        <f t="shared" si="0"/>
        <v>-0.057294277734010635</v>
      </c>
      <c r="D39" s="42">
        <f t="shared" si="1"/>
        <v>-0.00560544430179166</v>
      </c>
      <c r="E39" s="34">
        <f t="shared" si="2"/>
        <v>0.00356277550900819</v>
      </c>
      <c r="F39" s="5">
        <v>356.2</v>
      </c>
      <c r="G39" s="43">
        <f t="shared" si="3"/>
        <v>-5.259999999999991</v>
      </c>
      <c r="H39" s="42">
        <f t="shared" si="4"/>
        <v>-0.01455209428429146</v>
      </c>
      <c r="I39" s="34">
        <f t="shared" si="5"/>
        <v>0.03462298129429539</v>
      </c>
    </row>
    <row r="40" spans="1:9" ht="11.25">
      <c r="A40" s="30" t="s">
        <v>62</v>
      </c>
      <c r="B40" s="31">
        <v>10.104805020411085</v>
      </c>
      <c r="C40" s="41">
        <f t="shared" si="0"/>
        <v>-0.059084723913199966</v>
      </c>
      <c r="D40" s="42">
        <f t="shared" si="1"/>
        <v>-0.00581320000506637</v>
      </c>
      <c r="E40" s="34">
        <f t="shared" si="2"/>
        <v>-0.0022711356226651973</v>
      </c>
      <c r="F40" s="5">
        <v>353.93</v>
      </c>
      <c r="G40" s="43">
        <f t="shared" si="3"/>
        <v>-2.269999999999982</v>
      </c>
      <c r="H40" s="42">
        <f t="shared" si="4"/>
        <v>-0.006372824256035884</v>
      </c>
      <c r="I40" s="34">
        <f t="shared" si="5"/>
        <v>0.028029510863250943</v>
      </c>
    </row>
    <row r="41" spans="1:9" ht="11.25">
      <c r="A41" s="30" t="s">
        <v>63</v>
      </c>
      <c r="B41" s="31">
        <v>10.137721585619136</v>
      </c>
      <c r="C41" s="41">
        <f t="shared" si="0"/>
        <v>0.032916565208051196</v>
      </c>
      <c r="D41" s="42">
        <f t="shared" si="1"/>
        <v>0.0032575161164972266</v>
      </c>
      <c r="E41" s="34">
        <f t="shared" si="2"/>
        <v>0.0009789822329384465</v>
      </c>
      <c r="F41" s="5">
        <v>352.83</v>
      </c>
      <c r="G41" s="43">
        <f t="shared" si="3"/>
        <v>-1.1000000000000227</v>
      </c>
      <c r="H41" s="42">
        <f t="shared" si="4"/>
        <v>-0.0031079592009720077</v>
      </c>
      <c r="I41" s="34">
        <f t="shared" si="5"/>
        <v>0.024834437086092752</v>
      </c>
    </row>
    <row r="42" spans="1:9" ht="11.25">
      <c r="A42" s="30" t="s">
        <v>64</v>
      </c>
      <c r="B42" s="31">
        <v>10.154002843228533</v>
      </c>
      <c r="C42" s="41">
        <f t="shared" si="0"/>
        <v>0.01628125760939625</v>
      </c>
      <c r="D42" s="42">
        <f t="shared" si="1"/>
        <v>0.00160600757003349</v>
      </c>
      <c r="E42" s="34">
        <f t="shared" si="2"/>
        <v>0.002586562055848964</v>
      </c>
      <c r="F42" s="5">
        <v>350.62</v>
      </c>
      <c r="G42" s="43">
        <f t="shared" si="3"/>
        <v>-2.2099999999999795</v>
      </c>
      <c r="H42" s="42">
        <f t="shared" si="4"/>
        <v>-0.00626363971317626</v>
      </c>
      <c r="I42" s="34">
        <f t="shared" si="5"/>
        <v>0.018415243406529662</v>
      </c>
    </row>
    <row r="43" spans="1:9" ht="11.25">
      <c r="A43" s="30" t="s">
        <v>65</v>
      </c>
      <c r="B43" s="31">
        <v>10.1590365036167</v>
      </c>
      <c r="C43" s="41">
        <f t="shared" si="0"/>
        <v>0.005033660388168215</v>
      </c>
      <c r="D43" s="42">
        <f t="shared" si="1"/>
        <v>0.0004957316307553574</v>
      </c>
      <c r="E43" s="34">
        <f t="shared" si="2"/>
        <v>0.003083575927230317</v>
      </c>
      <c r="F43" s="5">
        <v>350.25</v>
      </c>
      <c r="G43" s="43">
        <f t="shared" si="3"/>
        <v>-0.37000000000000455</v>
      </c>
      <c r="H43" s="42">
        <f t="shared" si="4"/>
        <v>-0.0010552735154868648</v>
      </c>
      <c r="I43" s="34">
        <f t="shared" si="5"/>
        <v>0.017340536772394645</v>
      </c>
    </row>
    <row r="44" spans="1:9" ht="11.25">
      <c r="A44" s="30" t="s">
        <v>66</v>
      </c>
      <c r="B44" s="31">
        <v>10.13509895437943</v>
      </c>
      <c r="C44" s="41">
        <f t="shared" si="0"/>
        <v>-0.023937549237270872</v>
      </c>
      <c r="D44" s="42">
        <f t="shared" si="1"/>
        <v>-0.0023562814474334163</v>
      </c>
      <c r="E44" s="34">
        <f t="shared" si="2"/>
        <v>0.0007200287070478159</v>
      </c>
      <c r="F44" s="5">
        <v>350.01</v>
      </c>
      <c r="G44" s="43">
        <f t="shared" si="3"/>
        <v>-0.2400000000000091</v>
      </c>
      <c r="H44" s="42">
        <f t="shared" si="4"/>
        <v>-0.0006852248394004542</v>
      </c>
      <c r="I44" s="34">
        <f t="shared" si="5"/>
        <v>0.01664342976646921</v>
      </c>
    </row>
    <row r="45" spans="1:9" ht="11.25">
      <c r="A45" s="30" t="s">
        <v>67</v>
      </c>
      <c r="B45" s="31">
        <v>10.135046540650999</v>
      </c>
      <c r="C45" s="41">
        <f t="shared" si="0"/>
        <v>-5.241372843123315E-05</v>
      </c>
      <c r="D45" s="42">
        <f t="shared" si="1"/>
        <v>-5.171506333303722E-06</v>
      </c>
      <c r="E45" s="34">
        <f t="shared" si="2"/>
        <v>0.0007148534770814936</v>
      </c>
      <c r="F45" s="5">
        <v>350.55</v>
      </c>
      <c r="G45" s="43">
        <f t="shared" si="3"/>
        <v>0.5400000000000205</v>
      </c>
      <c r="H45" s="42">
        <f t="shared" si="4"/>
        <v>0.0015428130624839875</v>
      </c>
      <c r="I45" s="34">
        <f t="shared" si="5"/>
        <v>0.01821192052980144</v>
      </c>
    </row>
    <row r="46" spans="1:9" ht="11.25">
      <c r="A46" s="30" t="s">
        <v>68</v>
      </c>
      <c r="B46" s="31">
        <v>10.149207130345934</v>
      </c>
      <c r="C46" s="41">
        <f t="shared" si="0"/>
        <v>0.014160589694935055</v>
      </c>
      <c r="D46" s="42">
        <f t="shared" si="1"/>
        <v>0.001397190396525351</v>
      </c>
      <c r="E46" s="34">
        <f t="shared" si="2"/>
        <v>0.0021130426600199453</v>
      </c>
      <c r="F46" s="5">
        <v>350.93</v>
      </c>
      <c r="G46" s="43">
        <f t="shared" si="3"/>
        <v>0.37999999999999545</v>
      </c>
      <c r="H46" s="42">
        <f t="shared" si="4"/>
        <v>0.001084010840108388</v>
      </c>
      <c r="I46" s="34">
        <f t="shared" si="5"/>
        <v>0.019315673289183325</v>
      </c>
    </row>
    <row r="47" spans="1:9" ht="11.25">
      <c r="A47" s="30" t="s">
        <v>69</v>
      </c>
      <c r="B47" s="31">
        <v>10.42411838417749</v>
      </c>
      <c r="C47" s="41">
        <f t="shared" si="0"/>
        <v>0.2749112538315561</v>
      </c>
      <c r="D47" s="42">
        <f t="shared" si="1"/>
        <v>0.02708696849920195</v>
      </c>
      <c r="E47" s="34">
        <f t="shared" si="2"/>
        <v>0.029257247079191327</v>
      </c>
      <c r="F47" s="5">
        <v>353.41</v>
      </c>
      <c r="G47" s="43">
        <f t="shared" si="3"/>
        <v>2.480000000000018</v>
      </c>
      <c r="H47" s="42">
        <f t="shared" si="4"/>
        <v>0.0070669364260679286</v>
      </c>
      <c r="I47" s="34">
        <f t="shared" si="5"/>
        <v>0.02651911235041261</v>
      </c>
    </row>
    <row r="48" spans="1:9" ht="11.25">
      <c r="A48" s="30" t="s">
        <v>70</v>
      </c>
      <c r="B48" s="31">
        <v>10.70300762662385</v>
      </c>
      <c r="C48" s="41">
        <f t="shared" si="0"/>
        <v>0.2788892424463594</v>
      </c>
      <c r="D48" s="42">
        <f t="shared" si="1"/>
        <v>0.026754228239548625</v>
      </c>
      <c r="E48" s="34">
        <f t="shared" si="2"/>
        <v>0.056794230384757505</v>
      </c>
      <c r="F48" s="5">
        <v>355.36</v>
      </c>
      <c r="G48" s="43">
        <f t="shared" si="3"/>
        <v>1.9499999999999886</v>
      </c>
      <c r="H48" s="42">
        <f t="shared" si="4"/>
        <v>0.005517670694094645</v>
      </c>
      <c r="I48" s="34">
        <f t="shared" si="5"/>
        <v>0.03218310677355653</v>
      </c>
    </row>
    <row r="49" spans="1:9" ht="11.25">
      <c r="A49" s="30" t="s">
        <v>71</v>
      </c>
      <c r="B49" s="31">
        <v>10.706784943803823</v>
      </c>
      <c r="C49" s="41">
        <f t="shared" si="0"/>
        <v>0.0037773171799742045</v>
      </c>
      <c r="D49" s="42">
        <f t="shared" si="1"/>
        <v>0.00035292109580283644</v>
      </c>
      <c r="E49" s="34">
        <f t="shared" si="2"/>
        <v>0.05716719536258301</v>
      </c>
      <c r="F49" s="5">
        <v>356.48</v>
      </c>
      <c r="G49" s="43">
        <f t="shared" si="3"/>
        <v>1.1200000000000045</v>
      </c>
      <c r="H49" s="42">
        <f t="shared" si="4"/>
        <v>0.003151733453399382</v>
      </c>
      <c r="I49" s="34">
        <f t="shared" si="5"/>
        <v>0.03543627280120845</v>
      </c>
    </row>
    <row r="50" spans="1:9" ht="11.25">
      <c r="A50" s="30" t="s">
        <v>72</v>
      </c>
      <c r="B50" s="31">
        <v>10.690363983360092</v>
      </c>
      <c r="C50" s="41">
        <f t="shared" si="0"/>
        <v>-0.016420960443731758</v>
      </c>
      <c r="D50" s="42">
        <f t="shared" si="1"/>
        <v>-0.0015336966727098422</v>
      </c>
      <c r="E50" s="34">
        <f t="shared" si="2"/>
        <v>0.05554582155255742</v>
      </c>
      <c r="F50" s="5">
        <v>351.52</v>
      </c>
      <c r="G50" s="43">
        <f t="shared" si="3"/>
        <v>-4.960000000000036</v>
      </c>
      <c r="H50" s="42">
        <f t="shared" si="4"/>
        <v>-0.01391382405745073</v>
      </c>
      <c r="I50" s="34">
        <f t="shared" si="5"/>
        <v>0.021029394678749883</v>
      </c>
    </row>
    <row r="51" spans="1:9" ht="11.25">
      <c r="A51" s="30" t="s">
        <v>73</v>
      </c>
      <c r="B51" s="31">
        <v>10.706723930813018</v>
      </c>
      <c r="C51" s="41">
        <f t="shared" si="0"/>
        <v>0.01635994745292635</v>
      </c>
      <c r="D51" s="42">
        <f t="shared" si="1"/>
        <v>0.0015303452228933602</v>
      </c>
      <c r="E51" s="34">
        <f t="shared" si="2"/>
        <v>0.05716117105811542</v>
      </c>
      <c r="F51" s="5">
        <v>357.23</v>
      </c>
      <c r="G51" s="43">
        <f t="shared" si="3"/>
        <v>5.710000000000036</v>
      </c>
      <c r="H51" s="42">
        <f t="shared" si="4"/>
        <v>0.01624374146563506</v>
      </c>
      <c r="I51" s="34">
        <f t="shared" si="5"/>
        <v>0.03761473219472536</v>
      </c>
    </row>
    <row r="52" spans="1:9" ht="11.25">
      <c r="A52" s="30" t="s">
        <v>74</v>
      </c>
      <c r="B52" s="31">
        <v>10.743214954021308</v>
      </c>
      <c r="C52" s="41">
        <f t="shared" si="0"/>
        <v>0.03649102320829023</v>
      </c>
      <c r="D52" s="42">
        <f t="shared" si="1"/>
        <v>0.0034082342501866743</v>
      </c>
      <c r="E52" s="34">
        <f t="shared" si="2"/>
        <v>0.060764223969283146</v>
      </c>
      <c r="F52" s="5">
        <v>364.15</v>
      </c>
      <c r="G52" s="43">
        <f t="shared" si="3"/>
        <v>6.919999999999959</v>
      </c>
      <c r="H52" s="42">
        <f t="shared" si="4"/>
        <v>0.019371273409288018</v>
      </c>
      <c r="I52" s="34">
        <f t="shared" si="5"/>
        <v>0.05771465086557455</v>
      </c>
    </row>
    <row r="53" spans="1:9" ht="11.25">
      <c r="A53" s="30" t="s">
        <v>75</v>
      </c>
      <c r="B53" s="31">
        <v>10.656422150051087</v>
      </c>
      <c r="C53" s="41">
        <f t="shared" si="0"/>
        <v>-0.08679280397022104</v>
      </c>
      <c r="D53" s="42">
        <f t="shared" si="1"/>
        <v>-0.008078848309530798</v>
      </c>
      <c r="E53" s="34">
        <f t="shared" si="2"/>
        <v>0.05219447071165815</v>
      </c>
      <c r="F53" s="5">
        <v>365.51</v>
      </c>
      <c r="G53" s="43">
        <f t="shared" si="3"/>
        <v>1.3600000000000136</v>
      </c>
      <c r="H53" s="42">
        <f t="shared" si="4"/>
        <v>0.0037347247013593677</v>
      </c>
      <c r="I53" s="34">
        <f t="shared" si="5"/>
        <v>0.06166492389915191</v>
      </c>
    </row>
    <row r="54" spans="1:9" ht="11.25">
      <c r="A54" s="30" t="s">
        <v>76</v>
      </c>
      <c r="B54" s="31">
        <v>10.242548846883667</v>
      </c>
      <c r="C54" s="41">
        <f t="shared" si="0"/>
        <v>-0.41387330316742066</v>
      </c>
      <c r="D54" s="42">
        <f t="shared" si="1"/>
        <v>-0.03883792302329507</v>
      </c>
      <c r="E54" s="34">
        <f t="shared" si="2"/>
        <v>0.011329422852622072</v>
      </c>
      <c r="F54" s="5">
        <v>360.41</v>
      </c>
      <c r="G54" s="43">
        <f t="shared" si="3"/>
        <v>-5.099999999999966</v>
      </c>
      <c r="H54" s="42">
        <f t="shared" si="4"/>
        <v>-0.013953106618149889</v>
      </c>
      <c r="I54" s="34">
        <f t="shared" si="5"/>
        <v>0.04685140002323705</v>
      </c>
    </row>
    <row r="55" spans="1:9" ht="11.25">
      <c r="A55" s="30" t="s">
        <v>77</v>
      </c>
      <c r="B55" s="31">
        <v>10.144023084221281</v>
      </c>
      <c r="C55" s="41">
        <f t="shared" si="0"/>
        <v>-0.09852576266238522</v>
      </c>
      <c r="D55" s="42">
        <f t="shared" si="1"/>
        <v>-0.009619262171482058</v>
      </c>
      <c r="E55" s="34">
        <f t="shared" si="2"/>
        <v>0.0016011799924690638</v>
      </c>
      <c r="F55" s="5">
        <v>358.76</v>
      </c>
      <c r="G55" s="43">
        <f t="shared" si="3"/>
        <v>-1.650000000000034</v>
      </c>
      <c r="H55" s="42">
        <f t="shared" si="4"/>
        <v>-0.004578119364057696</v>
      </c>
      <c r="I55" s="34">
        <f t="shared" si="5"/>
        <v>0.042058789357499765</v>
      </c>
    </row>
    <row r="56" spans="1:9" ht="11.25">
      <c r="A56" s="30" t="s">
        <v>78</v>
      </c>
      <c r="B56" s="31">
        <v>10.338933729916613</v>
      </c>
      <c r="C56" s="41">
        <f t="shared" si="0"/>
        <v>0.194910645695332</v>
      </c>
      <c r="D56" s="42">
        <f t="shared" si="1"/>
        <v>0.019214333807906013</v>
      </c>
      <c r="E56" s="34">
        <f t="shared" si="2"/>
        <v>0.02084627940723692</v>
      </c>
      <c r="F56" s="5">
        <v>360.37</v>
      </c>
      <c r="G56" s="43">
        <f t="shared" si="3"/>
        <v>1.6100000000000136</v>
      </c>
      <c r="H56" s="42">
        <f t="shared" si="4"/>
        <v>0.00448767978592935</v>
      </c>
      <c r="I56" s="34">
        <f t="shared" si="5"/>
        <v>0.04673521552224943</v>
      </c>
    </row>
    <row r="57" spans="1:9" ht="11.25">
      <c r="A57" s="30" t="s">
        <v>79</v>
      </c>
      <c r="B57" s="31">
        <v>10.740784960341673</v>
      </c>
      <c r="C57" s="41">
        <f t="shared" si="0"/>
        <v>0.4018512304250592</v>
      </c>
      <c r="D57" s="42">
        <f t="shared" si="1"/>
        <v>0.038867763438918984</v>
      </c>
      <c r="E57" s="34">
        <f t="shared" si="2"/>
        <v>0.06052429110273799</v>
      </c>
      <c r="F57" s="5">
        <v>364.05</v>
      </c>
      <c r="G57" s="43">
        <f t="shared" si="3"/>
        <v>3.680000000000007</v>
      </c>
      <c r="H57" s="42">
        <f t="shared" si="4"/>
        <v>0.010211726836307148</v>
      </c>
      <c r="I57" s="34">
        <f t="shared" si="5"/>
        <v>0.057424189613105726</v>
      </c>
    </row>
    <row r="58" spans="1:9" ht="11.25">
      <c r="A58" s="30" t="s">
        <v>80</v>
      </c>
      <c r="B58" s="31">
        <v>10.993038773642466</v>
      </c>
      <c r="C58" s="41">
        <f t="shared" si="0"/>
        <v>0.25225381330079344</v>
      </c>
      <c r="D58" s="42">
        <f t="shared" si="1"/>
        <v>0.023485603168873895</v>
      </c>
      <c r="E58" s="34">
        <f t="shared" si="2"/>
        <v>0.0854313437545282</v>
      </c>
      <c r="F58" s="5">
        <v>373.33</v>
      </c>
      <c r="G58" s="43">
        <f t="shared" si="3"/>
        <v>9.279999999999973</v>
      </c>
      <c r="H58" s="42">
        <f t="shared" si="4"/>
        <v>0.025491003982969298</v>
      </c>
      <c r="I58" s="34">
        <f t="shared" si="5"/>
        <v>0.08437899384222149</v>
      </c>
    </row>
    <row r="59" spans="1:9" ht="11.25">
      <c r="A59" s="30" t="s">
        <v>81</v>
      </c>
      <c r="B59" s="31">
        <v>10.993038773642466</v>
      </c>
      <c r="C59" s="41">
        <f t="shared" si="0"/>
        <v>0</v>
      </c>
      <c r="D59" s="42">
        <f t="shared" si="1"/>
        <v>0</v>
      </c>
      <c r="E59" s="34">
        <f t="shared" si="2"/>
        <v>0.0854313437545282</v>
      </c>
      <c r="F59" s="5">
        <v>371.82</v>
      </c>
      <c r="G59" s="43">
        <f t="shared" si="3"/>
        <v>-1.509999999999991</v>
      </c>
      <c r="H59" s="42">
        <f t="shared" si="4"/>
        <v>-0.004044678970347926</v>
      </c>
      <c r="I59" s="34">
        <f t="shared" si="5"/>
        <v>0.07999302892994081</v>
      </c>
    </row>
    <row r="60" spans="1:9" ht="11.25">
      <c r="A60" s="30" t="s">
        <v>82</v>
      </c>
      <c r="B60" s="31">
        <v>10.993038773642466</v>
      </c>
      <c r="C60" s="41">
        <f t="shared" si="0"/>
        <v>0</v>
      </c>
      <c r="D60" s="42">
        <f t="shared" si="1"/>
        <v>0</v>
      </c>
      <c r="E60" s="34">
        <f t="shared" si="2"/>
        <v>0.0854313437545282</v>
      </c>
      <c r="F60" s="5">
        <v>370.48</v>
      </c>
      <c r="G60" s="43">
        <f t="shared" si="3"/>
        <v>-1.339999999999975</v>
      </c>
      <c r="H60" s="42">
        <f t="shared" si="4"/>
        <v>-0.0036038943574847374</v>
      </c>
      <c r="I60" s="34">
        <f t="shared" si="5"/>
        <v>0.07610084814685734</v>
      </c>
    </row>
    <row r="61" spans="1:9" ht="11.25">
      <c r="A61" s="30" t="s">
        <v>83</v>
      </c>
      <c r="B61" s="31">
        <v>10.993038773642466</v>
      </c>
      <c r="C61" s="41">
        <f t="shared" si="0"/>
        <v>0</v>
      </c>
      <c r="D61" s="42">
        <f t="shared" si="1"/>
        <v>0</v>
      </c>
      <c r="E61" s="34">
        <f t="shared" si="2"/>
        <v>0.0854313437545282</v>
      </c>
      <c r="F61" s="5">
        <v>367.16</v>
      </c>
      <c r="G61" s="43">
        <f t="shared" si="3"/>
        <v>-3.319999999999993</v>
      </c>
      <c r="H61" s="42">
        <f t="shared" si="4"/>
        <v>-0.008961347441157399</v>
      </c>
      <c r="I61" s="34">
        <f t="shared" si="5"/>
        <v>0.0664575345648892</v>
      </c>
    </row>
    <row r="62" spans="1:9" ht="11.25">
      <c r="A62" s="30" t="s">
        <v>84</v>
      </c>
      <c r="B62" s="31">
        <v>10.993038773642466</v>
      </c>
      <c r="C62" s="41">
        <f t="shared" si="0"/>
        <v>0</v>
      </c>
      <c r="D62" s="42">
        <f t="shared" si="1"/>
        <v>0</v>
      </c>
      <c r="E62" s="34">
        <f t="shared" si="2"/>
        <v>0.0854313437545282</v>
      </c>
      <c r="F62" s="5">
        <v>371.45</v>
      </c>
      <c r="G62" s="43">
        <f t="shared" si="3"/>
        <v>4.289999999999964</v>
      </c>
      <c r="H62" s="42">
        <f t="shared" si="4"/>
        <v>0.011684279333260604</v>
      </c>
      <c r="I62" s="34">
        <f t="shared" si="5"/>
        <v>0.0789183222958058</v>
      </c>
    </row>
    <row r="63" spans="1:9" ht="11.25">
      <c r="A63" s="30" t="s">
        <v>85</v>
      </c>
      <c r="B63" s="31">
        <v>10.993038773642466</v>
      </c>
      <c r="C63" s="41">
        <f t="shared" si="0"/>
        <v>0</v>
      </c>
      <c r="D63" s="42">
        <f t="shared" si="1"/>
        <v>0</v>
      </c>
      <c r="E63" s="34">
        <f t="shared" si="2"/>
        <v>0.0854313437545282</v>
      </c>
      <c r="F63" s="5">
        <v>375.91</v>
      </c>
      <c r="G63" s="43">
        <f t="shared" si="3"/>
        <v>4.460000000000036</v>
      </c>
      <c r="H63" s="42">
        <f t="shared" si="4"/>
        <v>0.012006999596177242</v>
      </c>
      <c r="I63" s="34">
        <f t="shared" si="5"/>
        <v>0.09187289415591976</v>
      </c>
    </row>
    <row r="64" spans="1:9" ht="11.25">
      <c r="A64" s="30" t="s">
        <v>86</v>
      </c>
      <c r="B64" s="31">
        <v>10.993038773642466</v>
      </c>
      <c r="C64" s="41">
        <f t="shared" si="0"/>
        <v>0</v>
      </c>
      <c r="D64" s="42">
        <f t="shared" si="1"/>
        <v>0</v>
      </c>
      <c r="E64" s="34">
        <f t="shared" si="2"/>
        <v>0.0854313437545282</v>
      </c>
      <c r="F64" s="5">
        <v>373.17</v>
      </c>
      <c r="G64" s="43">
        <f t="shared" si="3"/>
        <v>-2.740000000000009</v>
      </c>
      <c r="H64" s="42">
        <f t="shared" si="4"/>
        <v>-0.007288978744912369</v>
      </c>
      <c r="I64" s="34">
        <f t="shared" si="5"/>
        <v>0.0839142558382713</v>
      </c>
    </row>
    <row r="65" spans="1:9" ht="11.25">
      <c r="A65" s="30" t="s">
        <v>87</v>
      </c>
      <c r="B65" s="31">
        <v>10.993038773642466</v>
      </c>
      <c r="C65" s="41">
        <f t="shared" si="0"/>
        <v>0</v>
      </c>
      <c r="D65" s="42">
        <f t="shared" si="1"/>
        <v>0</v>
      </c>
      <c r="E65" s="34">
        <f t="shared" si="2"/>
        <v>0.0854313437545282</v>
      </c>
      <c r="F65" s="5">
        <v>376.56</v>
      </c>
      <c r="G65" s="43">
        <f t="shared" si="3"/>
        <v>3.3899999999999864</v>
      </c>
      <c r="H65" s="42">
        <f t="shared" si="4"/>
        <v>0.009084331537904939</v>
      </c>
      <c r="I65" s="34">
        <f t="shared" si="5"/>
        <v>0.09376089229696767</v>
      </c>
    </row>
    <row r="66" spans="1:9" ht="11.25">
      <c r="A66" s="30" t="s">
        <v>88</v>
      </c>
      <c r="B66" s="31">
        <v>11.010789943054709</v>
      </c>
      <c r="C66" s="41">
        <f t="shared" si="0"/>
        <v>0.017751169412242973</v>
      </c>
      <c r="D66" s="42">
        <f t="shared" si="1"/>
        <v>0.0016147645594413972</v>
      </c>
      <c r="E66" s="34">
        <f t="shared" si="2"/>
        <v>0.08718405982012986</v>
      </c>
      <c r="F66" s="5">
        <v>376.3</v>
      </c>
      <c r="G66" s="43">
        <f t="shared" si="3"/>
        <v>-0.2599999999999909</v>
      </c>
      <c r="H66" s="42">
        <f t="shared" si="4"/>
        <v>-0.0006904610155087925</v>
      </c>
      <c r="I66" s="34">
        <f t="shared" si="5"/>
        <v>0.09300569304054851</v>
      </c>
    </row>
    <row r="67" spans="1:9" ht="11.25">
      <c r="A67" s="30" t="s">
        <v>90</v>
      </c>
      <c r="B67" s="31">
        <v>11.239582043558853</v>
      </c>
      <c r="C67" s="41">
        <f t="shared" si="0"/>
        <v>0.228792100504144</v>
      </c>
      <c r="D67" s="42">
        <f t="shared" si="1"/>
        <v>0.020778899759908643</v>
      </c>
      <c r="E67" s="34">
        <f t="shared" si="2"/>
        <v>0.10977454841970287</v>
      </c>
      <c r="F67" s="5">
        <v>370.8</v>
      </c>
      <c r="G67" s="43">
        <f t="shared" si="3"/>
        <v>-5.5</v>
      </c>
      <c r="H67" s="42">
        <f t="shared" si="4"/>
        <v>-0.014615997874036673</v>
      </c>
      <c r="I67" s="34">
        <f t="shared" si="5"/>
        <v>0.07703032415475787</v>
      </c>
    </row>
    <row r="68" spans="1:9" ht="11.25">
      <c r="A68" s="30" t="s">
        <v>91</v>
      </c>
      <c r="B68" s="31">
        <v>11.137009445474206</v>
      </c>
      <c r="C68" s="41">
        <f t="shared" si="0"/>
        <v>-0.10257259808464703</v>
      </c>
      <c r="D68" s="42">
        <f t="shared" si="1"/>
        <v>-0.00912601533465642</v>
      </c>
      <c r="E68" s="34">
        <f aca="true" t="shared" si="6" ref="E68:E131">(B68-$B$3)/$B$3</f>
        <v>0.09964672887281326</v>
      </c>
      <c r="F68" s="5">
        <v>374.76</v>
      </c>
      <c r="G68" s="43">
        <f t="shared" si="3"/>
        <v>3.9599999999999795</v>
      </c>
      <c r="H68" s="42">
        <f t="shared" si="4"/>
        <v>0.010679611650485381</v>
      </c>
      <c r="I68" s="34">
        <f aca="true" t="shared" si="7" ref="I68:I131">(F68-$F$3)/$F$3</f>
        <v>0.08853258975252708</v>
      </c>
    </row>
    <row r="69" spans="1:9" ht="11.25">
      <c r="A69" s="30" t="s">
        <v>92</v>
      </c>
      <c r="B69" s="31">
        <v>11.150408812171763</v>
      </c>
      <c r="C69" s="41">
        <f t="shared" si="0"/>
        <v>0.013399366697557369</v>
      </c>
      <c r="D69" s="42">
        <f t="shared" si="1"/>
        <v>0.001203138666906898</v>
      </c>
      <c r="E69" s="34">
        <f t="shared" si="6"/>
        <v>0.10096975637225782</v>
      </c>
      <c r="F69" s="5">
        <v>369.69</v>
      </c>
      <c r="G69" s="43">
        <f t="shared" si="3"/>
        <v>-5.069999999999993</v>
      </c>
      <c r="H69" s="42">
        <f t="shared" si="4"/>
        <v>-0.013528658341338439</v>
      </c>
      <c r="I69" s="34">
        <f t="shared" si="7"/>
        <v>0.07380620425235282</v>
      </c>
    </row>
    <row r="70" spans="1:9" ht="11.25">
      <c r="A70" s="30" t="s">
        <v>93</v>
      </c>
      <c r="B70" s="31">
        <v>11.150408812171763</v>
      </c>
      <c r="C70" s="41">
        <f t="shared" si="0"/>
        <v>0</v>
      </c>
      <c r="D70" s="42">
        <f t="shared" si="1"/>
        <v>0</v>
      </c>
      <c r="E70" s="34">
        <f t="shared" si="6"/>
        <v>0.10096975637225782</v>
      </c>
      <c r="F70" s="5">
        <v>370.3</v>
      </c>
      <c r="G70" s="43">
        <f t="shared" si="3"/>
        <v>0.6100000000000136</v>
      </c>
      <c r="H70" s="42">
        <f t="shared" si="4"/>
        <v>0.0016500311071438601</v>
      </c>
      <c r="I70" s="34">
        <f t="shared" si="7"/>
        <v>0.07557801789241327</v>
      </c>
    </row>
    <row r="71" spans="1:9" ht="11.25">
      <c r="A71" s="30" t="s">
        <v>94</v>
      </c>
      <c r="B71" s="31">
        <v>11.169716813407476</v>
      </c>
      <c r="C71" s="41">
        <f t="shared" si="0"/>
        <v>0.019308001235712524</v>
      </c>
      <c r="D71" s="42">
        <f t="shared" si="1"/>
        <v>0.0017315958150911875</v>
      </c>
      <c r="E71" s="34">
        <f t="shared" si="6"/>
        <v>0.10287619099493399</v>
      </c>
      <c r="F71" s="5">
        <v>370.01</v>
      </c>
      <c r="G71" s="43">
        <f t="shared" si="3"/>
        <v>-0.29000000000002046</v>
      </c>
      <c r="H71" s="42">
        <f t="shared" si="4"/>
        <v>-0.0007831487982717268</v>
      </c>
      <c r="I71" s="34">
        <f t="shared" si="7"/>
        <v>0.07473568026025335</v>
      </c>
    </row>
    <row r="72" spans="1:9" ht="11.25">
      <c r="A72" s="30" t="s">
        <v>95</v>
      </c>
      <c r="B72" s="31">
        <v>11.1697168134075</v>
      </c>
      <c r="C72" s="41">
        <f t="shared" si="0"/>
        <v>2.4868995751603507E-14</v>
      </c>
      <c r="D72" s="42">
        <f aca="true" t="shared" si="8" ref="D72:D77">$C72/$B71</f>
        <v>2.2264660928334562E-15</v>
      </c>
      <c r="E72" s="34">
        <f t="shared" si="6"/>
        <v>0.10287619099493645</v>
      </c>
      <c r="F72" s="5">
        <v>372.4</v>
      </c>
      <c r="G72" s="43">
        <f t="shared" si="3"/>
        <v>2.3899999999999864</v>
      </c>
      <c r="H72" s="42">
        <f t="shared" si="4"/>
        <v>0.006459284884192283</v>
      </c>
      <c r="I72" s="34">
        <f t="shared" si="7"/>
        <v>0.0816777041942605</v>
      </c>
    </row>
    <row r="73" spans="1:9" ht="11.25">
      <c r="A73" s="30" t="s">
        <v>96</v>
      </c>
      <c r="B73" s="31">
        <v>11.1697168134075</v>
      </c>
      <c r="C73" s="41">
        <f t="shared" si="0"/>
        <v>0</v>
      </c>
      <c r="D73" s="42">
        <f t="shared" si="8"/>
        <v>0</v>
      </c>
      <c r="E73" s="34">
        <f t="shared" si="6"/>
        <v>0.10287619099493645</v>
      </c>
      <c r="F73" s="5">
        <v>373.37</v>
      </c>
      <c r="G73" s="43">
        <f t="shared" si="3"/>
        <v>0.9700000000000273</v>
      </c>
      <c r="H73" s="42">
        <f t="shared" si="4"/>
        <v>0.002604726100966776</v>
      </c>
      <c r="I73" s="34">
        <f t="shared" si="7"/>
        <v>0.08449517834320912</v>
      </c>
    </row>
    <row r="74" spans="1:9" ht="11.25">
      <c r="A74" s="30" t="s">
        <v>97</v>
      </c>
      <c r="B74" s="31">
        <v>11.150408812171763</v>
      </c>
      <c r="C74" s="41">
        <f t="shared" si="0"/>
        <v>-0.019308001235737393</v>
      </c>
      <c r="D74" s="42">
        <f t="shared" si="8"/>
        <v>-0.001728602574110129</v>
      </c>
      <c r="E74" s="34">
        <f t="shared" si="6"/>
        <v>0.10096975637225782</v>
      </c>
      <c r="F74" s="5">
        <v>373.28</v>
      </c>
      <c r="G74" s="43">
        <f t="shared" si="3"/>
        <v>-0.09000000000003183</v>
      </c>
      <c r="H74" s="42">
        <f t="shared" si="4"/>
        <v>-0.00024104775423850828</v>
      </c>
      <c r="I74" s="34">
        <f t="shared" si="7"/>
        <v>0.084233763215987</v>
      </c>
    </row>
    <row r="75" spans="1:9" ht="11.25">
      <c r="A75" s="30" t="s">
        <v>98</v>
      </c>
      <c r="B75" s="31">
        <v>11.227640817114612</v>
      </c>
      <c r="C75" s="41">
        <f t="shared" si="0"/>
        <v>0.07723200494284832</v>
      </c>
      <c r="D75" s="42">
        <f t="shared" si="8"/>
        <v>0.0069263832603645905</v>
      </c>
      <c r="E75" s="34">
        <f t="shared" si="6"/>
        <v>0.10859549486296231</v>
      </c>
      <c r="F75" s="5">
        <v>379.1</v>
      </c>
      <c r="G75" s="43">
        <f t="shared" si="3"/>
        <v>5.82000000000005</v>
      </c>
      <c r="H75" s="42">
        <f t="shared" si="4"/>
        <v>0.01559151307329632</v>
      </c>
      <c r="I75" s="34">
        <f t="shared" si="7"/>
        <v>0.10113860810967833</v>
      </c>
    </row>
    <row r="76" spans="1:9" ht="11.25">
      <c r="A76" s="30" t="s">
        <v>99</v>
      </c>
      <c r="B76" s="31">
        <v>11.189024814643188</v>
      </c>
      <c r="C76" s="41">
        <f t="shared" si="0"/>
        <v>-0.03861600247142327</v>
      </c>
      <c r="D76" s="42">
        <f t="shared" si="8"/>
        <v>-0.0034393692406475816</v>
      </c>
      <c r="E76" s="34">
        <f t="shared" si="6"/>
        <v>0.10478262561761015</v>
      </c>
      <c r="F76" s="5">
        <v>378.95</v>
      </c>
      <c r="G76" s="43">
        <f t="shared" si="3"/>
        <v>-0.1500000000000341</v>
      </c>
      <c r="H76" s="42">
        <f t="shared" si="4"/>
        <v>-0.0003956739646532158</v>
      </c>
      <c r="I76" s="34">
        <f t="shared" si="7"/>
        <v>0.10070291623097484</v>
      </c>
    </row>
    <row r="77" spans="1:9" ht="11.25">
      <c r="A77" s="30" t="s">
        <v>100</v>
      </c>
      <c r="B77" s="31">
        <v>11.166901984862529</v>
      </c>
      <c r="C77" s="41">
        <f t="shared" si="0"/>
        <v>-0.022122829780659714</v>
      </c>
      <c r="D77" s="42">
        <f t="shared" si="8"/>
        <v>-0.001977190161532875</v>
      </c>
      <c r="E77" s="34">
        <f t="shared" si="6"/>
        <v>0.10259826027960656</v>
      </c>
      <c r="F77" s="5">
        <v>375.48</v>
      </c>
      <c r="G77" s="43">
        <f t="shared" si="3"/>
        <v>-3.4699999999999704</v>
      </c>
      <c r="H77" s="42">
        <f t="shared" si="4"/>
        <v>-0.009156880854993985</v>
      </c>
      <c r="I77" s="34">
        <f t="shared" si="7"/>
        <v>0.09062391077030338</v>
      </c>
    </row>
    <row r="78" spans="1:9" ht="11.25">
      <c r="A78" s="30" t="s">
        <v>101</v>
      </c>
      <c r="B78" s="31">
        <v>11.285261338315218</v>
      </c>
      <c r="C78" s="41">
        <f t="shared" si="0"/>
        <v>0.11835935345268922</v>
      </c>
      <c r="D78" s="42">
        <f aca="true" t="shared" si="9" ref="D78:D83">$C78/$B77</f>
        <v>0.01059912172714806</v>
      </c>
      <c r="E78" s="34">
        <f t="shared" si="6"/>
        <v>0.11428483345645178</v>
      </c>
      <c r="F78" s="5">
        <v>379.14</v>
      </c>
      <c r="G78" s="43">
        <f t="shared" si="3"/>
        <v>3.659999999999968</v>
      </c>
      <c r="H78" s="42">
        <f t="shared" si="4"/>
        <v>0.009747523170341877</v>
      </c>
      <c r="I78" s="34">
        <f t="shared" si="7"/>
        <v>0.10125479261066578</v>
      </c>
    </row>
    <row r="79" spans="1:9" ht="11.25">
      <c r="A79" s="30" t="s">
        <v>103</v>
      </c>
      <c r="B79" s="31">
        <v>11.311035169836957</v>
      </c>
      <c r="C79" s="41">
        <f t="shared" si="0"/>
        <v>0.02577383152173951</v>
      </c>
      <c r="D79" s="42">
        <f t="shared" si="9"/>
        <v>0.0022838488847602796</v>
      </c>
      <c r="E79" s="34">
        <f t="shared" si="6"/>
        <v>0.11682969163064659</v>
      </c>
      <c r="F79" s="5">
        <v>380.26</v>
      </c>
      <c r="G79" s="43">
        <f t="shared" si="3"/>
        <v>1.1200000000000045</v>
      </c>
      <c r="H79" s="42">
        <f t="shared" si="4"/>
        <v>0.0029540539114838965</v>
      </c>
      <c r="I79" s="34">
        <f t="shared" si="7"/>
        <v>0.10450795863831772</v>
      </c>
    </row>
    <row r="80" spans="1:9" ht="11.25">
      <c r="A80" s="30" t="s">
        <v>104</v>
      </c>
      <c r="B80" s="31">
        <v>10.933413736413044</v>
      </c>
      <c r="C80" s="41">
        <f t="shared" si="0"/>
        <v>-0.3776214334239132</v>
      </c>
      <c r="D80" s="42">
        <f t="shared" si="9"/>
        <v>-0.033385223169574534</v>
      </c>
      <c r="E80" s="34">
        <f t="shared" si="6"/>
        <v>0.07954408313315035</v>
      </c>
      <c r="F80" s="5">
        <v>370.25</v>
      </c>
      <c r="G80" s="43">
        <f t="shared" si="3"/>
        <v>-10.009999999999991</v>
      </c>
      <c r="H80" s="42">
        <f t="shared" si="4"/>
        <v>-0.026324094040919347</v>
      </c>
      <c r="I80" s="34">
        <f t="shared" si="7"/>
        <v>0.07543278726617877</v>
      </c>
    </row>
    <row r="81" spans="1:9" ht="11.25">
      <c r="A81" s="30" t="s">
        <v>105</v>
      </c>
      <c r="B81" s="31">
        <v>10.941400699728263</v>
      </c>
      <c r="C81" s="41">
        <f t="shared" si="0"/>
        <v>0.007986963315218532</v>
      </c>
      <c r="D81" s="42">
        <f t="shared" si="9"/>
        <v>0.0007305095652438775</v>
      </c>
      <c r="E81" s="34">
        <f t="shared" si="6"/>
        <v>0.08033270041198155</v>
      </c>
      <c r="F81" s="5">
        <v>368.71</v>
      </c>
      <c r="G81" s="43">
        <f t="shared" si="3"/>
        <v>-1.5400000000000205</v>
      </c>
      <c r="H81" s="42">
        <f t="shared" si="4"/>
        <v>-0.004159351789331588</v>
      </c>
      <c r="I81" s="34">
        <f t="shared" si="7"/>
        <v>0.07095968397815734</v>
      </c>
    </row>
    <row r="82" spans="1:9" ht="11.25">
      <c r="A82" s="30" t="s">
        <v>106</v>
      </c>
      <c r="B82" s="31">
        <v>11.07400192255435</v>
      </c>
      <c r="C82" s="41">
        <f t="shared" si="0"/>
        <v>0.13260122282608755</v>
      </c>
      <c r="D82" s="42">
        <f t="shared" si="9"/>
        <v>0.012119218230384414</v>
      </c>
      <c r="E82" s="34">
        <f t="shared" si="6"/>
        <v>0.09342548816969486</v>
      </c>
      <c r="F82" s="5">
        <v>370.45</v>
      </c>
      <c r="G82" s="43">
        <f t="shared" si="3"/>
        <v>1.740000000000009</v>
      </c>
      <c r="H82" s="42">
        <f t="shared" si="4"/>
        <v>0.004719155976241516</v>
      </c>
      <c r="I82" s="34">
        <f t="shared" si="7"/>
        <v>0.07601370977111659</v>
      </c>
    </row>
    <row r="83" spans="1:9" ht="11.25">
      <c r="A83" s="30" t="s">
        <v>107</v>
      </c>
      <c r="B83" s="31">
        <v>10.956344691838241</v>
      </c>
      <c r="C83" s="41">
        <f t="shared" si="0"/>
        <v>-0.11765723071610878</v>
      </c>
      <c r="D83" s="42">
        <f t="shared" si="9"/>
        <v>-0.01062463520766391</v>
      </c>
      <c r="E83" s="34">
        <f t="shared" si="6"/>
        <v>0.08180824123113002</v>
      </c>
      <c r="F83" s="5">
        <v>371.18</v>
      </c>
      <c r="G83" s="43">
        <f t="shared" si="3"/>
        <v>0.7300000000000182</v>
      </c>
      <c r="H83" s="42">
        <f t="shared" si="4"/>
        <v>0.0019705763260899397</v>
      </c>
      <c r="I83" s="34">
        <f t="shared" si="7"/>
        <v>0.07813407691413976</v>
      </c>
    </row>
    <row r="84" spans="1:9" ht="11.25">
      <c r="A84" s="30" t="s">
        <v>108</v>
      </c>
      <c r="B84" s="31">
        <v>10.767222567232247</v>
      </c>
      <c r="C84" s="41">
        <f t="shared" si="0"/>
        <v>-0.1891221246059942</v>
      </c>
      <c r="D84" s="42">
        <f aca="true" t="shared" si="10" ref="D84:D89">$C84/$B83</f>
        <v>-0.017261425222125204</v>
      </c>
      <c r="E84" s="34">
        <f t="shared" si="6"/>
        <v>0.06313468917044009</v>
      </c>
      <c r="F84" s="5">
        <v>364.42</v>
      </c>
      <c r="G84" s="43">
        <f t="shared" si="3"/>
        <v>-6.759999999999991</v>
      </c>
      <c r="H84" s="42">
        <f t="shared" si="4"/>
        <v>-0.01821218815668945</v>
      </c>
      <c r="I84" s="34">
        <f t="shared" si="7"/>
        <v>0.05849889624724075</v>
      </c>
    </row>
    <row r="85" spans="1:9" ht="11.25">
      <c r="A85" s="30" t="s">
        <v>109</v>
      </c>
      <c r="B85" s="31">
        <v>10.667966984105696</v>
      </c>
      <c r="C85" s="41">
        <f t="shared" si="0"/>
        <v>-0.09925558312655092</v>
      </c>
      <c r="D85" s="42">
        <f t="shared" si="10"/>
        <v>-0.009218308854189955</v>
      </c>
      <c r="E85" s="34">
        <f t="shared" si="6"/>
        <v>0.053334385252063736</v>
      </c>
      <c r="F85" s="5">
        <v>359.53</v>
      </c>
      <c r="G85" s="43">
        <f t="shared" si="3"/>
        <v>-4.890000000000043</v>
      </c>
      <c r="H85" s="42">
        <f t="shared" si="4"/>
        <v>-0.01341858295373482</v>
      </c>
      <c r="I85" s="34">
        <f t="shared" si="7"/>
        <v>0.044295341001510405</v>
      </c>
    </row>
    <row r="86" spans="1:9" ht="11.25">
      <c r="A86" s="30" t="s">
        <v>110</v>
      </c>
      <c r="B86" s="31">
        <v>10.6318126953256</v>
      </c>
      <c r="C86" s="41">
        <f t="shared" si="0"/>
        <v>-0.03615428878009652</v>
      </c>
      <c r="D86" s="42">
        <f t="shared" si="10"/>
        <v>-0.0033890514316329565</v>
      </c>
      <c r="E86" s="34">
        <f t="shared" si="6"/>
        <v>0.04976458084573701</v>
      </c>
      <c r="F86" s="5">
        <v>362.09</v>
      </c>
      <c r="G86" s="43">
        <f t="shared" si="3"/>
        <v>2.5600000000000023</v>
      </c>
      <c r="H86" s="42">
        <f t="shared" si="4"/>
        <v>0.007120407198286659</v>
      </c>
      <c r="I86" s="34">
        <f t="shared" si="7"/>
        <v>0.05173114906471478</v>
      </c>
    </row>
    <row r="87" spans="1:9" ht="11.25">
      <c r="A87" s="30" t="s">
        <v>111</v>
      </c>
      <c r="B87" s="31">
        <v>10.199681677955871</v>
      </c>
      <c r="C87" s="41">
        <f t="shared" si="0"/>
        <v>-0.4321310173697288</v>
      </c>
      <c r="D87" s="42">
        <f t="shared" si="10"/>
        <v>-0.04064509315139837</v>
      </c>
      <c r="E87" s="34">
        <f t="shared" si="6"/>
        <v>0.007096801670223362</v>
      </c>
      <c r="F87" s="5">
        <v>356.76</v>
      </c>
      <c r="G87" s="43">
        <f t="shared" si="3"/>
        <v>-5.329999999999984</v>
      </c>
      <c r="H87" s="42">
        <f t="shared" si="4"/>
        <v>-0.01472009721339994</v>
      </c>
      <c r="I87" s="34">
        <f t="shared" si="7"/>
        <v>0.03624956430812135</v>
      </c>
    </row>
    <row r="88" spans="1:9" ht="11.25">
      <c r="A88" s="30" t="s">
        <v>112</v>
      </c>
      <c r="B88" s="31">
        <v>10.099036181342635</v>
      </c>
      <c r="C88" s="41">
        <f t="shared" si="0"/>
        <v>-0.10064549661323596</v>
      </c>
      <c r="D88" s="42">
        <f t="shared" si="10"/>
        <v>-0.00986751349610809</v>
      </c>
      <c r="E88" s="34">
        <f t="shared" si="6"/>
        <v>-0.0028407396121448592</v>
      </c>
      <c r="F88" s="5">
        <v>356.02</v>
      </c>
      <c r="G88" s="43">
        <f t="shared" si="3"/>
        <v>-0.7400000000000091</v>
      </c>
      <c r="H88" s="42">
        <f t="shared" si="4"/>
        <v>-0.002074223567664562</v>
      </c>
      <c r="I88" s="34">
        <f t="shared" si="7"/>
        <v>0.03410015103985131</v>
      </c>
    </row>
    <row r="89" spans="1:9" ht="11.25">
      <c r="A89" s="30" t="s">
        <v>113</v>
      </c>
      <c r="B89" s="31">
        <v>10.14726285963383</v>
      </c>
      <c r="C89" s="41">
        <f t="shared" si="0"/>
        <v>0.04822667829119531</v>
      </c>
      <c r="D89" s="42">
        <f t="shared" si="10"/>
        <v>0.004775374345156938</v>
      </c>
      <c r="E89" s="34">
        <f t="shared" si="6"/>
        <v>0.0019210691379469716</v>
      </c>
      <c r="F89" s="5">
        <v>358.89</v>
      </c>
      <c r="G89" s="43">
        <f t="shared" si="3"/>
        <v>2.8700000000000045</v>
      </c>
      <c r="H89" s="42">
        <f t="shared" si="4"/>
        <v>0.008061344868265841</v>
      </c>
      <c r="I89" s="34">
        <f t="shared" si="7"/>
        <v>0.042436388985709346</v>
      </c>
    </row>
    <row r="90" spans="1:9" ht="11.25">
      <c r="A90" s="30" t="s">
        <v>114</v>
      </c>
      <c r="B90" s="31">
        <v>10.249445263658606</v>
      </c>
      <c r="C90" s="41">
        <f t="shared" si="0"/>
        <v>0.10218240402477541</v>
      </c>
      <c r="D90" s="42">
        <f aca="true" t="shared" si="11" ref="D90:D162">$C90/$B89</f>
        <v>0.010069947476305224</v>
      </c>
      <c r="E90" s="34">
        <f t="shared" si="6"/>
        <v>0.012010361679569672</v>
      </c>
      <c r="F90" s="5">
        <v>361.32</v>
      </c>
      <c r="G90" s="43">
        <f t="shared" si="3"/>
        <v>2.430000000000007</v>
      </c>
      <c r="H90" s="42">
        <f t="shared" si="4"/>
        <v>0.006770876870350266</v>
      </c>
      <c r="I90" s="34">
        <f t="shared" si="7"/>
        <v>0.04949459742070414</v>
      </c>
    </row>
    <row r="91" spans="1:9" ht="11.25">
      <c r="A91" s="30" t="s">
        <v>115</v>
      </c>
      <c r="B91" s="31">
        <v>10.533635322098396</v>
      </c>
      <c r="C91" s="41">
        <f t="shared" si="0"/>
        <v>0.2841900584397905</v>
      </c>
      <c r="D91" s="42">
        <f t="shared" si="11"/>
        <v>0.027727359981855937</v>
      </c>
      <c r="E91" s="34">
        <f t="shared" si="6"/>
        <v>0.040070737283227326</v>
      </c>
      <c r="F91" s="5">
        <v>367.67</v>
      </c>
      <c r="G91" s="43">
        <f t="shared" si="3"/>
        <v>6.350000000000023</v>
      </c>
      <c r="H91" s="42">
        <f t="shared" si="4"/>
        <v>0.017574449241669496</v>
      </c>
      <c r="I91" s="34">
        <f t="shared" si="7"/>
        <v>0.06793888695248067</v>
      </c>
    </row>
    <row r="92" spans="1:9" ht="11.25">
      <c r="A92" s="30" t="s">
        <v>116</v>
      </c>
      <c r="B92" s="31">
        <v>10.581796896939064</v>
      </c>
      <c r="C92" s="41">
        <f t="shared" si="0"/>
        <v>0.04816157484066785</v>
      </c>
      <c r="D92" s="42">
        <f t="shared" si="11"/>
        <v>0.004572170325626351</v>
      </c>
      <c r="E92" s="34">
        <f t="shared" si="6"/>
        <v>0.04482611784478602</v>
      </c>
      <c r="F92" s="5">
        <v>364.55</v>
      </c>
      <c r="G92" s="43">
        <f t="shared" si="3"/>
        <v>-3.1200000000000045</v>
      </c>
      <c r="H92" s="42">
        <f t="shared" si="4"/>
        <v>-0.008485870481681954</v>
      </c>
      <c r="I92" s="34">
        <f t="shared" si="7"/>
        <v>0.05887649587545033</v>
      </c>
    </row>
    <row r="93" spans="1:9" ht="11.25">
      <c r="A93" s="30" t="s">
        <v>119</v>
      </c>
      <c r="B93" s="31">
        <v>10.546401755124966</v>
      </c>
      <c r="C93" s="41">
        <f t="shared" si="0"/>
        <v>-0.03539514181409764</v>
      </c>
      <c r="D93" s="42">
        <f t="shared" si="11"/>
        <v>-0.0033449084459687742</v>
      </c>
      <c r="E93" s="34">
        <f t="shared" si="6"/>
        <v>0.04133127013863823</v>
      </c>
      <c r="F93" s="5">
        <v>359.9</v>
      </c>
      <c r="G93" s="43">
        <f t="shared" si="3"/>
        <v>-4.650000000000034</v>
      </c>
      <c r="H93" s="42">
        <f t="shared" si="4"/>
        <v>-0.012755451927033421</v>
      </c>
      <c r="I93" s="34">
        <f t="shared" si="7"/>
        <v>0.04537004763564542</v>
      </c>
    </row>
    <row r="94" spans="1:9" ht="11.25">
      <c r="A94" s="30" t="s">
        <v>120</v>
      </c>
      <c r="B94" s="31">
        <v>10.499471117663578</v>
      </c>
      <c r="C94" s="41">
        <f t="shared" si="0"/>
        <v>-0.04693063746138826</v>
      </c>
      <c r="D94" s="42">
        <f t="shared" si="11"/>
        <v>-0.00444991937070694</v>
      </c>
      <c r="E94" s="34">
        <f t="shared" si="6"/>
        <v>0.03669742994832544</v>
      </c>
      <c r="F94" s="5">
        <v>358.96</v>
      </c>
      <c r="G94" s="43">
        <f t="shared" si="3"/>
        <v>-0.9399999999999977</v>
      </c>
      <c r="H94" s="42">
        <f t="shared" si="4"/>
        <v>-0.0026118366212836835</v>
      </c>
      <c r="I94" s="34">
        <f t="shared" si="7"/>
        <v>0.042639711862437576</v>
      </c>
    </row>
    <row r="95" spans="1:9" ht="11.25">
      <c r="A95" s="30" t="s">
        <v>121</v>
      </c>
      <c r="B95" s="31">
        <v>10.43069566835159</v>
      </c>
      <c r="C95" s="41">
        <f t="shared" si="0"/>
        <v>-0.06877544931198898</v>
      </c>
      <c r="D95" s="42">
        <f t="shared" si="11"/>
        <v>-0.006550372732230861</v>
      </c>
      <c r="E95" s="34">
        <f t="shared" si="6"/>
        <v>0.029906675371618115</v>
      </c>
      <c r="F95" s="5">
        <v>358.48</v>
      </c>
      <c r="G95" s="43">
        <f t="shared" si="3"/>
        <v>-0.47999999999996135</v>
      </c>
      <c r="H95" s="42">
        <f t="shared" si="4"/>
        <v>-0.0013371963449965495</v>
      </c>
      <c r="I95" s="34">
        <f t="shared" si="7"/>
        <v>0.041245497850586864</v>
      </c>
    </row>
    <row r="96" spans="1:9" ht="11.25">
      <c r="A96" s="30" t="s">
        <v>122</v>
      </c>
      <c r="B96" s="31">
        <v>10.339429170176919</v>
      </c>
      <c r="C96" s="41">
        <f t="shared" si="0"/>
        <v>-0.09126649817467047</v>
      </c>
      <c r="D96" s="42">
        <f t="shared" si="11"/>
        <v>-0.008749799733069361</v>
      </c>
      <c r="E96" s="34">
        <f t="shared" si="6"/>
        <v>0.02089519821836518</v>
      </c>
      <c r="F96" s="5">
        <v>353.29</v>
      </c>
      <c r="G96" s="43">
        <f t="shared" si="3"/>
        <v>-5.189999999999998</v>
      </c>
      <c r="H96" s="42">
        <f t="shared" si="4"/>
        <v>-0.014477795135014498</v>
      </c>
      <c r="I96" s="34">
        <f t="shared" si="7"/>
        <v>0.02617055884744989</v>
      </c>
    </row>
    <row r="97" spans="1:9" ht="11.25">
      <c r="A97" s="30" t="s">
        <v>123</v>
      </c>
      <c r="B97" s="31">
        <v>10.285915901432183</v>
      </c>
      <c r="C97" s="41">
        <f t="shared" si="0"/>
        <v>-0.0535132687447355</v>
      </c>
      <c r="D97" s="42">
        <f t="shared" si="11"/>
        <v>-0.005175650208919592</v>
      </c>
      <c r="E97" s="34">
        <f t="shared" si="6"/>
        <v>0.015611401772421289</v>
      </c>
      <c r="F97" s="5">
        <v>350.98</v>
      </c>
      <c r="G97" s="43">
        <f t="shared" si="3"/>
        <v>-2.3100000000000023</v>
      </c>
      <c r="H97" s="42">
        <f t="shared" si="4"/>
        <v>-0.006538537745195172</v>
      </c>
      <c r="I97" s="34">
        <f t="shared" si="7"/>
        <v>0.019460903915417816</v>
      </c>
    </row>
    <row r="98" spans="1:9" ht="11.25">
      <c r="A98" s="30" t="s">
        <v>124</v>
      </c>
      <c r="B98" s="31">
        <v>10.285915901432183</v>
      </c>
      <c r="C98" s="41">
        <f t="shared" si="0"/>
        <v>0</v>
      </c>
      <c r="D98" s="42">
        <f t="shared" si="11"/>
        <v>0</v>
      </c>
      <c r="E98" s="34">
        <f t="shared" si="6"/>
        <v>0.015611401772421289</v>
      </c>
      <c r="F98" s="5">
        <v>352.44</v>
      </c>
      <c r="G98" s="43">
        <f t="shared" si="3"/>
        <v>1.4599999999999795</v>
      </c>
      <c r="H98" s="42">
        <f t="shared" si="4"/>
        <v>0.004159781184112996</v>
      </c>
      <c r="I98" s="34">
        <f t="shared" si="7"/>
        <v>0.023701638201464</v>
      </c>
    </row>
    <row r="99" spans="1:9" ht="11.25">
      <c r="A99" s="30" t="s">
        <v>125</v>
      </c>
      <c r="B99" s="31">
        <v>10.285839954935312</v>
      </c>
      <c r="C99" s="41">
        <f t="shared" si="0"/>
        <v>-7.59464968709267E-05</v>
      </c>
      <c r="D99" s="42">
        <f t="shared" si="11"/>
        <v>-7.38354246706918E-06</v>
      </c>
      <c r="E99" s="34">
        <f t="shared" si="6"/>
        <v>0.015603902962506262</v>
      </c>
      <c r="F99" s="5">
        <v>353.48</v>
      </c>
      <c r="G99" s="43">
        <f t="shared" si="3"/>
        <v>1.0400000000000205</v>
      </c>
      <c r="H99" s="42">
        <f t="shared" si="4"/>
        <v>0.002950856883441211</v>
      </c>
      <c r="I99" s="34">
        <f t="shared" si="7"/>
        <v>0.026722435227140833</v>
      </c>
    </row>
    <row r="100" spans="1:9" ht="11.25">
      <c r="A100" s="30" t="s">
        <v>126</v>
      </c>
      <c r="B100" s="31">
        <v>10.285839954935312</v>
      </c>
      <c r="C100" s="41">
        <f t="shared" si="0"/>
        <v>0</v>
      </c>
      <c r="D100" s="42">
        <f t="shared" si="11"/>
        <v>0</v>
      </c>
      <c r="E100" s="34">
        <f t="shared" si="6"/>
        <v>0.015603902962506262</v>
      </c>
      <c r="F100" s="5">
        <v>358.24</v>
      </c>
      <c r="G100" s="43">
        <f t="shared" si="3"/>
        <v>4.759999999999991</v>
      </c>
      <c r="H100" s="42">
        <f t="shared" si="4"/>
        <v>0.013466108407830685</v>
      </c>
      <c r="I100" s="34">
        <f t="shared" si="7"/>
        <v>0.04054839084466143</v>
      </c>
    </row>
    <row r="101" spans="1:9" ht="11.25">
      <c r="A101" s="30" t="s">
        <v>127</v>
      </c>
      <c r="B101" s="31">
        <v>10.2858399549353</v>
      </c>
      <c r="C101" s="41">
        <f t="shared" si="0"/>
        <v>0</v>
      </c>
      <c r="D101" s="42">
        <f t="shared" si="11"/>
        <v>0</v>
      </c>
      <c r="E101" s="34">
        <f t="shared" si="6"/>
        <v>0.015603902962505033</v>
      </c>
      <c r="F101" s="5">
        <v>354.61</v>
      </c>
      <c r="G101" s="43">
        <f t="shared" si="3"/>
        <v>-3.6299999999999955</v>
      </c>
      <c r="H101" s="42">
        <f t="shared" si="4"/>
        <v>-0.01013287181777578</v>
      </c>
      <c r="I101" s="34">
        <f t="shared" si="7"/>
        <v>0.030004647380039624</v>
      </c>
    </row>
    <row r="102" spans="1:9" ht="11.25">
      <c r="A102" s="30" t="s">
        <v>128</v>
      </c>
      <c r="B102" s="31">
        <v>10.2858399549353</v>
      </c>
      <c r="C102" s="41">
        <f t="shared" si="0"/>
        <v>0</v>
      </c>
      <c r="D102" s="42">
        <f t="shared" si="11"/>
        <v>0</v>
      </c>
      <c r="E102" s="34">
        <f t="shared" si="6"/>
        <v>0.015603902962505033</v>
      </c>
      <c r="F102" s="5">
        <v>362.85</v>
      </c>
      <c r="G102" s="43">
        <f t="shared" si="3"/>
        <v>8.240000000000009</v>
      </c>
      <c r="H102" s="42">
        <f t="shared" si="4"/>
        <v>0.023236795352640956</v>
      </c>
      <c r="I102" s="34">
        <f t="shared" si="7"/>
        <v>0.05393865458347871</v>
      </c>
    </row>
    <row r="103" spans="1:9" ht="11.25">
      <c r="A103" s="30" t="s">
        <v>129</v>
      </c>
      <c r="B103" s="31">
        <v>10.2858399549353</v>
      </c>
      <c r="C103" s="41">
        <f t="shared" si="0"/>
        <v>0</v>
      </c>
      <c r="D103" s="42">
        <f t="shared" si="11"/>
        <v>0</v>
      </c>
      <c r="E103" s="34">
        <f t="shared" si="6"/>
        <v>0.015603902962505033</v>
      </c>
      <c r="F103" s="5">
        <v>361.13</v>
      </c>
      <c r="G103" s="43">
        <f t="shared" si="3"/>
        <v>-1.7200000000000273</v>
      </c>
      <c r="H103" s="42">
        <f t="shared" si="4"/>
        <v>-0.004740250792338507</v>
      </c>
      <c r="I103" s="34">
        <f t="shared" si="7"/>
        <v>0.0489427210410132</v>
      </c>
    </row>
    <row r="104" spans="1:9" ht="11.25">
      <c r="A104" s="30" t="s">
        <v>130</v>
      </c>
      <c r="B104" s="31">
        <v>10.128492956825122</v>
      </c>
      <c r="C104" s="41">
        <f t="shared" si="0"/>
        <v>-0.15734699811017805</v>
      </c>
      <c r="D104" s="42">
        <f t="shared" si="11"/>
        <v>-0.015297437914604204</v>
      </c>
      <c r="E104" s="34">
        <f t="shared" si="6"/>
        <v>6.776531110640122E-05</v>
      </c>
      <c r="F104" s="5">
        <v>364.1</v>
      </c>
      <c r="G104" s="43">
        <f t="shared" si="3"/>
        <v>2.9700000000000273</v>
      </c>
      <c r="H104" s="42">
        <f t="shared" si="4"/>
        <v>0.008224185196466722</v>
      </c>
      <c r="I104" s="34">
        <f t="shared" si="7"/>
        <v>0.057569420239340224</v>
      </c>
    </row>
    <row r="105" spans="1:9" ht="11.25">
      <c r="A105" s="30" t="s">
        <v>131</v>
      </c>
      <c r="B105" s="31">
        <v>9.931459230992877</v>
      </c>
      <c r="C105" s="41">
        <f t="shared" si="0"/>
        <v>-0.1970337258322452</v>
      </c>
      <c r="D105" s="42">
        <f t="shared" si="11"/>
        <v>-0.01945340996653143</v>
      </c>
      <c r="E105" s="34">
        <f t="shared" si="6"/>
        <v>-0.019386962921803492</v>
      </c>
      <c r="F105" s="5">
        <v>363.62</v>
      </c>
      <c r="G105" s="43">
        <f t="shared" si="3"/>
        <v>-0.4800000000000182</v>
      </c>
      <c r="H105" s="42">
        <f t="shared" si="4"/>
        <v>-0.0013183191430926069</v>
      </c>
      <c r="I105" s="34">
        <f t="shared" si="7"/>
        <v>0.05617520622748935</v>
      </c>
    </row>
    <row r="106" spans="1:9" ht="11.25">
      <c r="A106" s="30" t="s">
        <v>132</v>
      </c>
      <c r="B106" s="31">
        <v>9.33887339002762</v>
      </c>
      <c r="C106" s="41">
        <f t="shared" si="0"/>
        <v>-0.5925858409652562</v>
      </c>
      <c r="D106" s="42">
        <f t="shared" si="11"/>
        <v>-0.05966755007320447</v>
      </c>
      <c r="E106" s="34">
        <f t="shared" si="6"/>
        <v>-0.0778977404141039</v>
      </c>
      <c r="F106" s="5">
        <v>361.28</v>
      </c>
      <c r="G106" s="43">
        <f aca="true" t="shared" si="12" ref="G106:G280">$F106-$F105</f>
        <v>-2.340000000000032</v>
      </c>
      <c r="H106" s="42">
        <f aca="true" t="shared" si="13" ref="H106:H280">$G106/$F105</f>
        <v>-0.006435289588031549</v>
      </c>
      <c r="I106" s="34">
        <f t="shared" si="7"/>
        <v>0.049378412919716515</v>
      </c>
    </row>
    <row r="107" spans="1:9" ht="11.25">
      <c r="A107" s="30" t="s">
        <v>133</v>
      </c>
      <c r="B107" s="31">
        <v>9.410437880964986</v>
      </c>
      <c r="C107" s="41">
        <f t="shared" si="0"/>
        <v>0.07156449093736583</v>
      </c>
      <c r="D107" s="42">
        <f t="shared" si="11"/>
        <v>0.007663075399842655</v>
      </c>
      <c r="E107" s="34">
        <f t="shared" si="6"/>
        <v>-0.0708316012725319</v>
      </c>
      <c r="F107" s="5">
        <v>363.74</v>
      </c>
      <c r="G107" s="43">
        <f t="shared" si="12"/>
        <v>2.4600000000000364</v>
      </c>
      <c r="H107" s="42">
        <f t="shared" si="13"/>
        <v>0.006809123117803467</v>
      </c>
      <c r="I107" s="34">
        <f t="shared" si="7"/>
        <v>0.05652375973045207</v>
      </c>
    </row>
    <row r="108" spans="1:9" ht="11.25">
      <c r="A108" s="30" t="s">
        <v>134</v>
      </c>
      <c r="B108" s="31">
        <v>9.514754601830145</v>
      </c>
      <c r="C108" s="41">
        <f aca="true" t="shared" si="14" ref="C108:C280">$B108-$B107</f>
        <v>0.10431672086515853</v>
      </c>
      <c r="D108" s="42">
        <f t="shared" si="11"/>
        <v>0.011085214331648236</v>
      </c>
      <c r="E108" s="34">
        <f t="shared" si="6"/>
        <v>-0.06053157042244352</v>
      </c>
      <c r="F108" s="5">
        <v>368.14</v>
      </c>
      <c r="G108" s="43">
        <f t="shared" si="12"/>
        <v>4.399999999999977</v>
      </c>
      <c r="H108" s="42">
        <f t="shared" si="13"/>
        <v>0.012096552482542412</v>
      </c>
      <c r="I108" s="34">
        <f t="shared" si="7"/>
        <v>0.06930405483908451</v>
      </c>
    </row>
    <row r="109" spans="1:9" ht="11.25">
      <c r="A109" s="30" t="s">
        <v>135</v>
      </c>
      <c r="B109" s="31">
        <v>9.514754601830145</v>
      </c>
      <c r="C109" s="41">
        <f t="shared" si="14"/>
        <v>0</v>
      </c>
      <c r="D109" s="42">
        <f t="shared" si="11"/>
        <v>0</v>
      </c>
      <c r="E109" s="34">
        <f t="shared" si="6"/>
        <v>-0.06053157042244352</v>
      </c>
      <c r="F109" s="5">
        <v>368.94</v>
      </c>
      <c r="G109" s="43">
        <f t="shared" si="12"/>
        <v>0.8000000000000114</v>
      </c>
      <c r="H109" s="42">
        <f t="shared" si="13"/>
        <v>0.0021730863258543256</v>
      </c>
      <c r="I109" s="34">
        <f t="shared" si="7"/>
        <v>0.07162774485883591</v>
      </c>
    </row>
    <row r="110" spans="1:9" ht="11.25">
      <c r="A110" s="30" t="s">
        <v>136</v>
      </c>
      <c r="B110" s="31">
        <v>9.514754601830145</v>
      </c>
      <c r="C110" s="41">
        <f t="shared" si="14"/>
        <v>0</v>
      </c>
      <c r="D110" s="42">
        <f t="shared" si="11"/>
        <v>0</v>
      </c>
      <c r="E110" s="34">
        <f t="shared" si="6"/>
        <v>-0.06053157042244352</v>
      </c>
      <c r="F110" s="5">
        <v>369.53</v>
      </c>
      <c r="G110" s="43">
        <f t="shared" si="12"/>
        <v>0.589999999999975</v>
      </c>
      <c r="H110" s="42">
        <f t="shared" si="13"/>
        <v>0.001599176017780601</v>
      </c>
      <c r="I110" s="34">
        <f t="shared" si="7"/>
        <v>0.07334146624840247</v>
      </c>
    </row>
    <row r="111" spans="1:9" ht="11.25">
      <c r="A111" s="30" t="s">
        <v>137</v>
      </c>
      <c r="B111" s="31">
        <v>8.782665363381986</v>
      </c>
      <c r="C111" s="41">
        <f t="shared" si="14"/>
        <v>-0.7320892384481592</v>
      </c>
      <c r="D111" s="42">
        <f t="shared" si="11"/>
        <v>-0.07694252443540091</v>
      </c>
      <c r="E111" s="34">
        <f t="shared" si="6"/>
        <v>-0.13281664302150237</v>
      </c>
      <c r="F111" s="5">
        <v>364.55</v>
      </c>
      <c r="G111" s="43">
        <f t="shared" si="12"/>
        <v>-4.979999999999961</v>
      </c>
      <c r="H111" s="42">
        <f t="shared" si="13"/>
        <v>-0.01347657835629032</v>
      </c>
      <c r="I111" s="34">
        <f t="shared" si="7"/>
        <v>0.05887649587545033</v>
      </c>
    </row>
    <row r="112" spans="1:9" ht="11.25">
      <c r="A112" s="30" t="s">
        <v>138</v>
      </c>
      <c r="B112" s="31">
        <v>8.930135680254102</v>
      </c>
      <c r="C112" s="41">
        <f t="shared" si="14"/>
        <v>0.1474703168721163</v>
      </c>
      <c r="D112" s="42">
        <f t="shared" si="11"/>
        <v>0.016791066352928784</v>
      </c>
      <c r="E112" s="34">
        <f t="shared" si="6"/>
        <v>-0.1182557097343209</v>
      </c>
      <c r="F112" s="5">
        <v>362.22</v>
      </c>
      <c r="G112" s="43">
        <f t="shared" si="12"/>
        <v>-2.329999999999984</v>
      </c>
      <c r="H112" s="42">
        <f t="shared" si="13"/>
        <v>-0.006391441503223108</v>
      </c>
      <c r="I112" s="34">
        <f t="shared" si="7"/>
        <v>0.05210874869292453</v>
      </c>
    </row>
    <row r="113" spans="1:9" ht="11.25">
      <c r="A113" s="30" t="s">
        <v>139</v>
      </c>
      <c r="B113" s="31">
        <v>9.222128609241473</v>
      </c>
      <c r="C113" s="41">
        <f t="shared" si="14"/>
        <v>0.29199292898737106</v>
      </c>
      <c r="D113" s="42">
        <f t="shared" si="11"/>
        <v>0.032697479572792176</v>
      </c>
      <c r="E113" s="34">
        <f t="shared" si="6"/>
        <v>-0.08942489381493272</v>
      </c>
      <c r="F113" s="5">
        <v>363.02</v>
      </c>
      <c r="G113" s="43">
        <f t="shared" si="12"/>
        <v>0.7999999999999545</v>
      </c>
      <c r="H113" s="42">
        <f t="shared" si="13"/>
        <v>0.0022086025067637196</v>
      </c>
      <c r="I113" s="34">
        <f t="shared" si="7"/>
        <v>0.05443243871267576</v>
      </c>
    </row>
    <row r="114" spans="1:9" ht="11.25">
      <c r="A114" s="30" t="s">
        <v>140</v>
      </c>
      <c r="B114" s="31">
        <v>9.286410542237011</v>
      </c>
      <c r="C114" s="41">
        <f t="shared" si="14"/>
        <v>0.06428193299553797</v>
      </c>
      <c r="D114" s="42">
        <f t="shared" si="11"/>
        <v>0.00697040083903419</v>
      </c>
      <c r="E114" s="34">
        <f t="shared" si="6"/>
        <v>-0.08307782033077668</v>
      </c>
      <c r="F114" s="5">
        <v>365.12</v>
      </c>
      <c r="G114" s="43">
        <f t="shared" si="12"/>
        <v>2.1000000000000227</v>
      </c>
      <c r="H114" s="42">
        <f t="shared" si="13"/>
        <v>0.005784805244890151</v>
      </c>
      <c r="I114" s="34">
        <f t="shared" si="7"/>
        <v>0.06053212501452316</v>
      </c>
    </row>
    <row r="115" spans="1:9" ht="11.25">
      <c r="A115" s="30" t="s">
        <v>141</v>
      </c>
      <c r="B115" s="31">
        <v>9.429054647205627</v>
      </c>
      <c r="C115" s="41">
        <f t="shared" si="14"/>
        <v>0.1426441049686158</v>
      </c>
      <c r="D115" s="42">
        <f t="shared" si="11"/>
        <v>0.015360521088297066</v>
      </c>
      <c r="E115" s="34">
        <f t="shared" si="6"/>
        <v>-0.06899341785364026</v>
      </c>
      <c r="F115" s="5">
        <v>371.93</v>
      </c>
      <c r="G115" s="43">
        <f t="shared" si="12"/>
        <v>6.810000000000002</v>
      </c>
      <c r="H115" s="42">
        <f t="shared" si="13"/>
        <v>0.0186514022787029</v>
      </c>
      <c r="I115" s="34">
        <f t="shared" si="7"/>
        <v>0.08031253630765667</v>
      </c>
    </row>
    <row r="116" spans="1:9" ht="11.25">
      <c r="A116" s="30" t="s">
        <v>142</v>
      </c>
      <c r="B116" s="31">
        <v>9.358836088633442</v>
      </c>
      <c r="C116" s="41">
        <f t="shared" si="14"/>
        <v>-0.07021855857218462</v>
      </c>
      <c r="D116" s="42">
        <f t="shared" si="11"/>
        <v>-0.0074470412145712225</v>
      </c>
      <c r="E116" s="34">
        <f t="shared" si="6"/>
        <v>-0.0759266622419213</v>
      </c>
      <c r="F116" s="5">
        <v>375.82</v>
      </c>
      <c r="G116" s="43">
        <f t="shared" si="12"/>
        <v>3.8899999999999864</v>
      </c>
      <c r="H116" s="42">
        <f t="shared" si="13"/>
        <v>0.010458957330680467</v>
      </c>
      <c r="I116" s="34">
        <f t="shared" si="7"/>
        <v>0.09161147902869764</v>
      </c>
    </row>
    <row r="117" spans="1:9" ht="11.25">
      <c r="A117" s="30" t="s">
        <v>143</v>
      </c>
      <c r="B117" s="31">
        <v>9.326672576197389</v>
      </c>
      <c r="C117" s="41">
        <f t="shared" si="14"/>
        <v>-0.03216351243605331</v>
      </c>
      <c r="D117" s="42">
        <f t="shared" si="11"/>
        <v>-0.0034367000481092687</v>
      </c>
      <c r="E117" s="34">
        <f t="shared" si="6"/>
        <v>-0.07910242512625097</v>
      </c>
      <c r="F117" s="5">
        <v>376.2</v>
      </c>
      <c r="G117" s="43">
        <f t="shared" si="12"/>
        <v>0.37999999999999545</v>
      </c>
      <c r="H117" s="42">
        <f t="shared" si="13"/>
        <v>0.0010111223458038302</v>
      </c>
      <c r="I117" s="34">
        <f t="shared" si="7"/>
        <v>0.09271523178807953</v>
      </c>
    </row>
    <row r="118" spans="1:9" ht="11.25">
      <c r="A118" s="30" t="s">
        <v>144</v>
      </c>
      <c r="B118" s="31">
        <v>9.326672576197389</v>
      </c>
      <c r="C118" s="41">
        <f t="shared" si="14"/>
        <v>0</v>
      </c>
      <c r="D118" s="42">
        <f t="shared" si="11"/>
        <v>0</v>
      </c>
      <c r="E118" s="34">
        <f t="shared" si="6"/>
        <v>-0.07910242512625097</v>
      </c>
      <c r="F118" s="5">
        <v>375.02</v>
      </c>
      <c r="G118" s="43">
        <f t="shared" si="12"/>
        <v>-1.1800000000000068</v>
      </c>
      <c r="H118" s="42">
        <f t="shared" si="13"/>
        <v>-0.0031366294524189445</v>
      </c>
      <c r="I118" s="34">
        <f t="shared" si="7"/>
        <v>0.08928778900894624</v>
      </c>
    </row>
    <row r="119" spans="1:9" ht="11.25">
      <c r="A119" s="30" t="s">
        <v>145</v>
      </c>
      <c r="B119" s="31">
        <v>9.326672576197389</v>
      </c>
      <c r="C119" s="41">
        <f t="shared" si="14"/>
        <v>0</v>
      </c>
      <c r="D119" s="42">
        <f t="shared" si="11"/>
        <v>0</v>
      </c>
      <c r="E119" s="34">
        <f t="shared" si="6"/>
        <v>-0.07910242512625097</v>
      </c>
      <c r="F119" s="5">
        <v>383.36</v>
      </c>
      <c r="G119" s="43">
        <f t="shared" si="12"/>
        <v>8.340000000000032</v>
      </c>
      <c r="H119" s="42">
        <f t="shared" si="13"/>
        <v>0.022238813929923825</v>
      </c>
      <c r="I119" s="34">
        <f t="shared" si="7"/>
        <v>0.11351225746485431</v>
      </c>
    </row>
    <row r="120" spans="1:9" ht="11.25">
      <c r="A120" s="30" t="s">
        <v>146</v>
      </c>
      <c r="B120" s="31">
        <v>9.402869963715531</v>
      </c>
      <c r="C120" s="41">
        <f t="shared" si="14"/>
        <v>0.07619738751814253</v>
      </c>
      <c r="D120" s="42">
        <f t="shared" si="11"/>
        <v>0.008169836229976163</v>
      </c>
      <c r="E120" s="34">
        <f t="shared" si="6"/>
        <v>-0.07157884275495023</v>
      </c>
      <c r="F120" s="5">
        <v>386.54</v>
      </c>
      <c r="G120" s="43">
        <f t="shared" si="12"/>
        <v>3.180000000000007</v>
      </c>
      <c r="H120" s="42">
        <f t="shared" si="13"/>
        <v>0.008295075125208698</v>
      </c>
      <c r="I120" s="34">
        <f t="shared" si="7"/>
        <v>0.122748925293366</v>
      </c>
    </row>
    <row r="121" spans="1:9" ht="11.25">
      <c r="A121" s="30" t="s">
        <v>147</v>
      </c>
      <c r="B121" s="31">
        <v>9.304901894049348</v>
      </c>
      <c r="C121" s="41">
        <f t="shared" si="14"/>
        <v>-0.09796806966618377</v>
      </c>
      <c r="D121" s="42">
        <f t="shared" si="11"/>
        <v>-0.010418954004918709</v>
      </c>
      <c r="E121" s="34">
        <f t="shared" si="6"/>
        <v>-0.0812520200894798</v>
      </c>
      <c r="F121" s="5">
        <v>384.63</v>
      </c>
      <c r="G121" s="43">
        <f t="shared" si="12"/>
        <v>-1.910000000000025</v>
      </c>
      <c r="H121" s="42">
        <f t="shared" si="13"/>
        <v>-0.004941273865576719</v>
      </c>
      <c r="I121" s="34">
        <f t="shared" si="7"/>
        <v>0.11720111537120956</v>
      </c>
    </row>
    <row r="122" spans="1:9" ht="11.25">
      <c r="A122" s="30" t="s">
        <v>148</v>
      </c>
      <c r="B122" s="31">
        <v>9.250475188679246</v>
      </c>
      <c r="C122" s="41">
        <f t="shared" si="14"/>
        <v>-0.0544267053701013</v>
      </c>
      <c r="D122" s="42">
        <f t="shared" si="11"/>
        <v>-0.005849250856143702</v>
      </c>
      <c r="E122" s="34">
        <f t="shared" si="6"/>
        <v>-0.08662600749755171</v>
      </c>
      <c r="F122" s="5">
        <v>384.5</v>
      </c>
      <c r="G122" s="43">
        <f t="shared" si="12"/>
        <v>-0.12999999999999545</v>
      </c>
      <c r="H122" s="42">
        <f t="shared" si="13"/>
        <v>-0.00033798715648804164</v>
      </c>
      <c r="I122" s="34">
        <f t="shared" si="7"/>
        <v>0.11682351574299997</v>
      </c>
    </row>
    <row r="123" spans="1:9" ht="11.25">
      <c r="A123" s="30" t="s">
        <v>149</v>
      </c>
      <c r="B123" s="31">
        <v>9.208113069666185</v>
      </c>
      <c r="C123" s="41">
        <f t="shared" si="14"/>
        <v>-0.04236211901306142</v>
      </c>
      <c r="D123" s="42">
        <f t="shared" si="11"/>
        <v>-0.004579453287427254</v>
      </c>
      <c r="E123" s="34">
        <f t="shared" si="6"/>
        <v>-0.0908087610301676</v>
      </c>
      <c r="F123" s="5">
        <v>385.5</v>
      </c>
      <c r="G123" s="43">
        <f t="shared" si="12"/>
        <v>1</v>
      </c>
      <c r="H123" s="42">
        <f t="shared" si="13"/>
        <v>0.002600780234070221</v>
      </c>
      <c r="I123" s="34">
        <f t="shared" si="7"/>
        <v>0.11972812826768918</v>
      </c>
    </row>
    <row r="124" spans="1:9" ht="11.25">
      <c r="A124" s="30" t="s">
        <v>150</v>
      </c>
      <c r="B124" s="31">
        <v>9.171828599419449</v>
      </c>
      <c r="C124" s="41">
        <f t="shared" si="14"/>
        <v>-0.03628447024673598</v>
      </c>
      <c r="D124" s="42">
        <f t="shared" si="11"/>
        <v>-0.003940489215566439</v>
      </c>
      <c r="E124" s="34">
        <f t="shared" si="6"/>
        <v>-0.09439141930221571</v>
      </c>
      <c r="F124" s="5">
        <v>378.97</v>
      </c>
      <c r="G124" s="43">
        <f t="shared" si="12"/>
        <v>-6.529999999999973</v>
      </c>
      <c r="H124" s="42">
        <f t="shared" si="13"/>
        <v>-0.016939040207522627</v>
      </c>
      <c r="I124" s="34">
        <f t="shared" si="7"/>
        <v>0.10076100848146874</v>
      </c>
    </row>
    <row r="125" spans="1:9" ht="11.25">
      <c r="A125" s="30" t="s">
        <v>151</v>
      </c>
      <c r="B125" s="31">
        <v>9.20127997822932</v>
      </c>
      <c r="C125" s="41">
        <f t="shared" si="14"/>
        <v>0.029451378809870477</v>
      </c>
      <c r="D125" s="42">
        <f t="shared" si="11"/>
        <v>0.0032110694711122998</v>
      </c>
      <c r="E125" s="34">
        <f t="shared" si="6"/>
        <v>-0.09148344723595972</v>
      </c>
      <c r="F125" s="5">
        <v>375.39</v>
      </c>
      <c r="G125" s="43">
        <f t="shared" si="12"/>
        <v>-3.580000000000041</v>
      </c>
      <c r="H125" s="42">
        <f t="shared" si="13"/>
        <v>-0.009446658046811201</v>
      </c>
      <c r="I125" s="34">
        <f t="shared" si="7"/>
        <v>0.09036249564308126</v>
      </c>
    </row>
    <row r="126" spans="1:9" ht="11.25">
      <c r="A126" s="30" t="s">
        <v>152</v>
      </c>
      <c r="B126" s="31">
        <v>9.155137457843065</v>
      </c>
      <c r="C126" s="41">
        <f t="shared" si="14"/>
        <v>-0.04614252038625466</v>
      </c>
      <c r="D126" s="42">
        <f t="shared" si="11"/>
        <v>-0.0050147936477783666</v>
      </c>
      <c r="E126" s="34">
        <f t="shared" si="6"/>
        <v>-0.09603947027366233</v>
      </c>
      <c r="F126" s="5">
        <v>369.71</v>
      </c>
      <c r="G126" s="43">
        <f t="shared" si="12"/>
        <v>-5.680000000000007</v>
      </c>
      <c r="H126" s="42">
        <f t="shared" si="13"/>
        <v>-0.01513093049894778</v>
      </c>
      <c r="I126" s="34">
        <f t="shared" si="7"/>
        <v>0.07386429650284655</v>
      </c>
    </row>
    <row r="127" spans="1:9" ht="11.25">
      <c r="A127" s="30" t="s">
        <v>153</v>
      </c>
      <c r="B127" s="31">
        <v>9.042718961253092</v>
      </c>
      <c r="C127" s="41">
        <f t="shared" si="14"/>
        <v>-0.1124184965899726</v>
      </c>
      <c r="D127" s="42">
        <f t="shared" si="11"/>
        <v>-0.012279280033492606</v>
      </c>
      <c r="E127" s="34">
        <f t="shared" si="6"/>
        <v>-0.10713945475739635</v>
      </c>
      <c r="F127" s="5">
        <v>368.53</v>
      </c>
      <c r="G127" s="43">
        <f t="shared" si="12"/>
        <v>-1.1800000000000068</v>
      </c>
      <c r="H127" s="42">
        <f t="shared" si="13"/>
        <v>-0.0031916907846690837</v>
      </c>
      <c r="I127" s="34">
        <f t="shared" si="7"/>
        <v>0.07043685372371326</v>
      </c>
    </row>
    <row r="128" spans="1:9" ht="11.25">
      <c r="A128" s="30" t="s">
        <v>154</v>
      </c>
      <c r="B128" s="31">
        <v>8.993741969572062</v>
      </c>
      <c r="C128" s="41">
        <f t="shared" si="14"/>
        <v>-0.04897699168103031</v>
      </c>
      <c r="D128" s="42">
        <f t="shared" si="11"/>
        <v>-0.005416179789606482</v>
      </c>
      <c r="E128" s="34">
        <f t="shared" si="6"/>
        <v>-0.11197534799747637</v>
      </c>
      <c r="F128" s="5">
        <v>368.85</v>
      </c>
      <c r="G128" s="43">
        <f t="shared" si="12"/>
        <v>0.32000000000005</v>
      </c>
      <c r="H128" s="42">
        <f t="shared" si="13"/>
        <v>0.000868314655523431</v>
      </c>
      <c r="I128" s="34">
        <f t="shared" si="7"/>
        <v>0.07136632973161396</v>
      </c>
    </row>
    <row r="129" spans="1:9" ht="11.25">
      <c r="A129" s="30" t="s">
        <v>155</v>
      </c>
      <c r="B129" s="31">
        <v>9.147200786929478</v>
      </c>
      <c r="C129" s="41">
        <f t="shared" si="14"/>
        <v>0.15345881735741607</v>
      </c>
      <c r="D129" s="42">
        <f t="shared" si="11"/>
        <v>0.017062844128350938</v>
      </c>
      <c r="E129" s="34">
        <f t="shared" si="6"/>
        <v>-0.09682312177822422</v>
      </c>
      <c r="F129" s="5">
        <v>372.97</v>
      </c>
      <c r="G129" s="43">
        <f t="shared" si="12"/>
        <v>4.1200000000000045</v>
      </c>
      <c r="H129" s="42">
        <f t="shared" si="13"/>
        <v>0.011169852243459413</v>
      </c>
      <c r="I129" s="34">
        <f t="shared" si="7"/>
        <v>0.0833333333333335</v>
      </c>
    </row>
    <row r="130" spans="1:9" ht="11.25">
      <c r="A130" s="30" t="s">
        <v>156</v>
      </c>
      <c r="B130" s="31">
        <v>9.257552656823805</v>
      </c>
      <c r="C130" s="41">
        <f t="shared" si="14"/>
        <v>0.11035186989432688</v>
      </c>
      <c r="D130" s="42">
        <f t="shared" si="11"/>
        <v>0.012064004329281775</v>
      </c>
      <c r="E130" s="34">
        <f t="shared" si="6"/>
        <v>-0.08592719200924952</v>
      </c>
      <c r="F130" s="5">
        <v>374.63</v>
      </c>
      <c r="G130" s="43">
        <f t="shared" si="12"/>
        <v>1.6599999999999682</v>
      </c>
      <c r="H130" s="42">
        <f t="shared" si="13"/>
        <v>0.004450760114754452</v>
      </c>
      <c r="I130" s="34">
        <f t="shared" si="7"/>
        <v>0.08815499012431749</v>
      </c>
    </row>
    <row r="131" spans="1:9" ht="11.25">
      <c r="A131" s="30" t="s">
        <v>157</v>
      </c>
      <c r="B131" s="31">
        <v>9.28730301281571</v>
      </c>
      <c r="C131" s="41">
        <f t="shared" si="14"/>
        <v>0.02975035599190612</v>
      </c>
      <c r="D131" s="42">
        <f t="shared" si="11"/>
        <v>0.0032136307612549123</v>
      </c>
      <c r="E131" s="34">
        <f t="shared" si="6"/>
        <v>-0.08298969951546378</v>
      </c>
      <c r="F131" s="5">
        <v>375.24</v>
      </c>
      <c r="G131" s="43">
        <f t="shared" si="12"/>
        <v>0.6100000000000136</v>
      </c>
      <c r="H131" s="42">
        <f t="shared" si="13"/>
        <v>0.0016282732295865617</v>
      </c>
      <c r="I131" s="34">
        <f t="shared" si="7"/>
        <v>0.08992680376437795</v>
      </c>
    </row>
    <row r="132" spans="1:9" ht="11.25">
      <c r="A132" s="30" t="s">
        <v>158</v>
      </c>
      <c r="B132" s="31">
        <v>9.360141954582929</v>
      </c>
      <c r="C132" s="41">
        <f t="shared" si="14"/>
        <v>0.07283894176721795</v>
      </c>
      <c r="D132" s="42">
        <f t="shared" si="11"/>
        <v>0.00784285186632828</v>
      </c>
      <c r="E132" s="34">
        <f aca="true" t="shared" si="15" ref="E132:E175">(B132-$B$3)/$B$3</f>
        <v>-0.07579772356886638</v>
      </c>
      <c r="F132" s="5">
        <v>380.05</v>
      </c>
      <c r="G132" s="43">
        <f t="shared" si="12"/>
        <v>4.810000000000002</v>
      </c>
      <c r="H132" s="42">
        <f t="shared" si="13"/>
        <v>0.01281846285044239</v>
      </c>
      <c r="I132" s="34">
        <f aca="true" t="shared" si="16" ref="I132:I175">(F132-$F$3)/$F$3</f>
        <v>0.10389799000813303</v>
      </c>
    </row>
    <row r="133" spans="1:9" ht="11.25">
      <c r="A133" s="30" t="s">
        <v>159</v>
      </c>
      <c r="B133" s="31">
        <v>9.39012149441655</v>
      </c>
      <c r="C133" s="41">
        <f t="shared" si="14"/>
        <v>0.02997953983362045</v>
      </c>
      <c r="D133" s="42">
        <f t="shared" si="11"/>
        <v>0.0032028937145490424</v>
      </c>
      <c r="E133" s="34">
        <f t="shared" si="15"/>
        <v>-0.07283760190671319</v>
      </c>
      <c r="F133" s="5">
        <v>379.45</v>
      </c>
      <c r="G133" s="43">
        <f t="shared" si="12"/>
        <v>-0.6000000000000227</v>
      </c>
      <c r="H133" s="42">
        <f t="shared" si="13"/>
        <v>-0.0015787396395211754</v>
      </c>
      <c r="I133" s="34">
        <f t="shared" si="16"/>
        <v>0.10215522249331944</v>
      </c>
    </row>
    <row r="134" spans="1:9" ht="11.25">
      <c r="A134" s="30" t="s">
        <v>160</v>
      </c>
      <c r="B134" s="31">
        <v>9.357373236903246</v>
      </c>
      <c r="C134" s="41">
        <f t="shared" si="14"/>
        <v>-0.0327482575133029</v>
      </c>
      <c r="D134" s="42">
        <f t="shared" si="11"/>
        <v>-0.003487522236296443</v>
      </c>
      <c r="E134" s="34">
        <f t="shared" si="15"/>
        <v>-0.07607110138672146</v>
      </c>
      <c r="F134" s="5">
        <v>378.2</v>
      </c>
      <c r="G134" s="43">
        <f t="shared" si="12"/>
        <v>-1.25</v>
      </c>
      <c r="H134" s="42">
        <f t="shared" si="13"/>
        <v>-0.003294241665568586</v>
      </c>
      <c r="I134" s="34">
        <f t="shared" si="16"/>
        <v>0.09852445683745793</v>
      </c>
    </row>
    <row r="135" spans="1:9" ht="11.25">
      <c r="A135" s="30" t="s">
        <v>161</v>
      </c>
      <c r="B135" s="31">
        <v>9.384295522798176</v>
      </c>
      <c r="C135" s="41">
        <f t="shared" si="14"/>
        <v>0.026922285894929843</v>
      </c>
      <c r="D135" s="42">
        <f t="shared" si="11"/>
        <v>0.00287712002218259</v>
      </c>
      <c r="E135" s="34">
        <f t="shared" si="15"/>
        <v>-0.0734128470534481</v>
      </c>
      <c r="F135" s="5">
        <v>384.32</v>
      </c>
      <c r="G135" s="43">
        <f t="shared" si="12"/>
        <v>6.1200000000000045</v>
      </c>
      <c r="H135" s="42">
        <f t="shared" si="13"/>
        <v>0.01618191433104179</v>
      </c>
      <c r="I135" s="34">
        <f t="shared" si="16"/>
        <v>0.11630068548855589</v>
      </c>
    </row>
    <row r="136" spans="1:9" ht="11.25">
      <c r="A136" s="30" t="s">
        <v>162</v>
      </c>
      <c r="B136" s="31">
        <v>9.325072725733571</v>
      </c>
      <c r="C136" s="41">
        <f t="shared" si="14"/>
        <v>-0.05922279706460465</v>
      </c>
      <c r="D136" s="42">
        <f t="shared" si="11"/>
        <v>-0.0063108410131297536</v>
      </c>
      <c r="E136" s="34">
        <f t="shared" si="15"/>
        <v>-0.07926039126050233</v>
      </c>
      <c r="F136" s="5">
        <v>383.49</v>
      </c>
      <c r="G136" s="43">
        <f t="shared" si="12"/>
        <v>-0.8299999999999841</v>
      </c>
      <c r="H136" s="42">
        <f t="shared" si="13"/>
        <v>-0.002159658617818443</v>
      </c>
      <c r="I136" s="34">
        <f t="shared" si="16"/>
        <v>0.1138898570930639</v>
      </c>
    </row>
    <row r="137" spans="1:9" ht="11.25">
      <c r="A137" s="30" t="s">
        <v>163</v>
      </c>
      <c r="B137" s="31">
        <v>9.30425627685322</v>
      </c>
      <c r="C137" s="41">
        <f t="shared" si="14"/>
        <v>-0.0208164488803515</v>
      </c>
      <c r="D137" s="42">
        <f t="shared" si="11"/>
        <v>-0.00223230954788226</v>
      </c>
      <c r="E137" s="34">
        <f t="shared" si="15"/>
        <v>-0.08131576708020488</v>
      </c>
      <c r="F137" s="5">
        <v>386.79</v>
      </c>
      <c r="G137" s="43">
        <f t="shared" si="12"/>
        <v>3.3000000000000114</v>
      </c>
      <c r="H137" s="42">
        <f t="shared" si="13"/>
        <v>0.0086051787530314</v>
      </c>
      <c r="I137" s="34">
        <f t="shared" si="16"/>
        <v>0.12347507842453831</v>
      </c>
    </row>
    <row r="138" spans="1:9" ht="11.25">
      <c r="A138" s="30" t="s">
        <v>164</v>
      </c>
      <c r="B138" s="31">
        <v>9.33245389156573</v>
      </c>
      <c r="C138" s="41">
        <f t="shared" si="14"/>
        <v>0.0281976147125107</v>
      </c>
      <c r="D138" s="42">
        <f t="shared" si="11"/>
        <v>0.0030306145782613134</v>
      </c>
      <c r="E138" s="34">
        <f t="shared" si="15"/>
        <v>-0.07853158925109933</v>
      </c>
      <c r="F138" s="5">
        <v>385.22</v>
      </c>
      <c r="G138" s="43">
        <f t="shared" si="12"/>
        <v>-1.5699999999999932</v>
      </c>
      <c r="H138" s="42">
        <f t="shared" si="13"/>
        <v>-0.004059050130561786</v>
      </c>
      <c r="I138" s="34">
        <f t="shared" si="16"/>
        <v>0.11891483676077629</v>
      </c>
    </row>
    <row r="139" spans="1:9" ht="11.25">
      <c r="A139" s="30" t="s">
        <v>165</v>
      </c>
      <c r="B139" s="31">
        <v>9.083350386630844</v>
      </c>
      <c r="C139" s="41">
        <f t="shared" si="14"/>
        <v>-0.24910350493488664</v>
      </c>
      <c r="D139" s="42">
        <f t="shared" si="11"/>
        <v>-0.02669217633745993</v>
      </c>
      <c r="E139" s="34">
        <f t="shared" si="15"/>
        <v>-0.10312758656020796</v>
      </c>
      <c r="F139" s="5">
        <v>383</v>
      </c>
      <c r="G139" s="43">
        <f t="shared" si="12"/>
        <v>-2.2200000000000273</v>
      </c>
      <c r="H139" s="42">
        <f t="shared" si="13"/>
        <v>-0.0057629406572868155</v>
      </c>
      <c r="I139" s="34">
        <f t="shared" si="16"/>
        <v>0.11246659695596616</v>
      </c>
    </row>
    <row r="140" spans="1:9" ht="11.25">
      <c r="A140" s="30" t="s">
        <v>166</v>
      </c>
      <c r="B140" s="31">
        <v>8.898083991595707</v>
      </c>
      <c r="C140" s="41">
        <f t="shared" si="14"/>
        <v>-0.18526639503513742</v>
      </c>
      <c r="D140" s="42">
        <f t="shared" si="11"/>
        <v>-0.020396262078342615</v>
      </c>
      <c r="E140" s="34">
        <f t="shared" si="15"/>
        <v>-0.1214204313555616</v>
      </c>
      <c r="F140" s="5">
        <v>379.03</v>
      </c>
      <c r="G140" s="43">
        <f t="shared" si="12"/>
        <v>-3.9700000000000273</v>
      </c>
      <c r="H140" s="42">
        <f t="shared" si="13"/>
        <v>-0.010365535248041846</v>
      </c>
      <c r="I140" s="34">
        <f t="shared" si="16"/>
        <v>0.10093528523294994</v>
      </c>
    </row>
    <row r="141" spans="1:9" ht="11.25">
      <c r="A141" s="30" t="s">
        <v>167</v>
      </c>
      <c r="B141" s="31">
        <v>8.960533338236765</v>
      </c>
      <c r="C141" s="41">
        <f t="shared" si="14"/>
        <v>0.06244934664105806</v>
      </c>
      <c r="D141" s="42">
        <f t="shared" si="11"/>
        <v>0.007018291432182685</v>
      </c>
      <c r="E141" s="34">
        <f t="shared" si="15"/>
        <v>-0.11525430389645358</v>
      </c>
      <c r="F141" s="5">
        <v>382.97</v>
      </c>
      <c r="G141" s="43">
        <f t="shared" si="12"/>
        <v>3.9400000000000546</v>
      </c>
      <c r="H141" s="42">
        <f t="shared" si="13"/>
        <v>0.010394955544416154</v>
      </c>
      <c r="I141" s="34">
        <f t="shared" si="16"/>
        <v>0.11237945858022556</v>
      </c>
    </row>
    <row r="142" spans="1:9" ht="11.25">
      <c r="A142" s="30" t="s">
        <v>168</v>
      </c>
      <c r="B142" s="31">
        <v>8.981349787117116</v>
      </c>
      <c r="C142" s="41">
        <f t="shared" si="14"/>
        <v>0.0208164488803515</v>
      </c>
      <c r="D142" s="42">
        <f t="shared" si="11"/>
        <v>0.0023231261013808937</v>
      </c>
      <c r="E142" s="34">
        <f t="shared" si="15"/>
        <v>-0.11319892807675103</v>
      </c>
      <c r="F142" s="5">
        <v>387.37</v>
      </c>
      <c r="G142" s="43">
        <f t="shared" si="12"/>
        <v>4.399999999999977</v>
      </c>
      <c r="H142" s="42">
        <f t="shared" si="13"/>
        <v>0.011489150586207737</v>
      </c>
      <c r="I142" s="34">
        <f t="shared" si="16"/>
        <v>0.125159753688858</v>
      </c>
    </row>
    <row r="143" spans="1:9" ht="11.25">
      <c r="A143" s="30" t="s">
        <v>169</v>
      </c>
      <c r="B143" s="31">
        <v>9.032003146059308</v>
      </c>
      <c r="C143" s="41">
        <f t="shared" si="14"/>
        <v>0.05065335894219203</v>
      </c>
      <c r="D143" s="42">
        <f t="shared" si="11"/>
        <v>0.005639838124871766</v>
      </c>
      <c r="E143" s="34">
        <f t="shared" si="15"/>
        <v>-0.10819751358214114</v>
      </c>
      <c r="F143" s="5">
        <v>388.62</v>
      </c>
      <c r="G143" s="43">
        <f t="shared" si="12"/>
        <v>1.25</v>
      </c>
      <c r="H143" s="42">
        <f t="shared" si="13"/>
        <v>0.0032268890208327953</v>
      </c>
      <c r="I143" s="34">
        <f t="shared" si="16"/>
        <v>0.12879051934471952</v>
      </c>
    </row>
    <row r="144" spans="1:9" ht="11.25">
      <c r="A144" s="30" t="s">
        <v>170</v>
      </c>
      <c r="B144" s="31">
        <v>9.038488954792225</v>
      </c>
      <c r="C144" s="41">
        <f t="shared" si="14"/>
        <v>0.006485808732916709</v>
      </c>
      <c r="D144" s="42">
        <f t="shared" si="11"/>
        <v>0.0007180919479358783</v>
      </c>
      <c r="E144" s="34">
        <f t="shared" si="15"/>
        <v>-0.10755711739749528</v>
      </c>
      <c r="F144" s="5">
        <v>395.52</v>
      </c>
      <c r="G144" s="43">
        <f t="shared" si="12"/>
        <v>6.899999999999977</v>
      </c>
      <c r="H144" s="42">
        <f t="shared" si="13"/>
        <v>0.017755133549482726</v>
      </c>
      <c r="I144" s="34">
        <f t="shared" si="16"/>
        <v>0.14883234576507498</v>
      </c>
    </row>
    <row r="145" spans="1:9" ht="11.25">
      <c r="A145" s="30" t="s">
        <v>171</v>
      </c>
      <c r="B145" s="31">
        <v>8.933712828761116</v>
      </c>
      <c r="C145" s="41">
        <f t="shared" si="14"/>
        <v>-0.10477612603110842</v>
      </c>
      <c r="D145" s="42">
        <f t="shared" si="11"/>
        <v>-0.01159221707911209</v>
      </c>
      <c r="E145" s="34">
        <f t="shared" si="15"/>
        <v>-0.11790250902333206</v>
      </c>
      <c r="F145" s="5">
        <v>396.88</v>
      </c>
      <c r="G145" s="43">
        <f t="shared" si="12"/>
        <v>1.3600000000000136</v>
      </c>
      <c r="H145" s="42">
        <f t="shared" si="13"/>
        <v>0.003438511326860876</v>
      </c>
      <c r="I145" s="34">
        <f t="shared" si="16"/>
        <v>0.15278261879865235</v>
      </c>
    </row>
    <row r="146" spans="1:9" ht="11.25">
      <c r="A146" s="30" t="s">
        <v>172</v>
      </c>
      <c r="B146" s="31">
        <v>8.908733090104695</v>
      </c>
      <c r="C146" s="41">
        <f t="shared" si="14"/>
        <v>-0.024979738656421446</v>
      </c>
      <c r="D146" s="42">
        <f t="shared" si="11"/>
        <v>-0.0027961206203093855</v>
      </c>
      <c r="E146" s="34">
        <f t="shared" si="15"/>
        <v>-0.12036896000697508</v>
      </c>
      <c r="F146" s="5">
        <v>400.69</v>
      </c>
      <c r="G146" s="43">
        <f t="shared" si="12"/>
        <v>3.8100000000000023</v>
      </c>
      <c r="H146" s="42">
        <f t="shared" si="13"/>
        <v>0.009599879056641811</v>
      </c>
      <c r="I146" s="34">
        <f t="shared" si="16"/>
        <v>0.16384919251771823</v>
      </c>
    </row>
    <row r="147" spans="1:9" ht="11.25">
      <c r="A147" s="30" t="s">
        <v>173</v>
      </c>
      <c r="B147" s="31">
        <v>8.930243420614392</v>
      </c>
      <c r="C147" s="41">
        <f t="shared" si="14"/>
        <v>0.021510330509697084</v>
      </c>
      <c r="D147" s="42">
        <f t="shared" si="11"/>
        <v>0.0024145218284280525</v>
      </c>
      <c r="E147" s="34">
        <f t="shared" si="15"/>
        <v>-0.11824507165994906</v>
      </c>
      <c r="F147" s="5">
        <v>402.98</v>
      </c>
      <c r="G147" s="43">
        <f t="shared" si="12"/>
        <v>2.2900000000000205</v>
      </c>
      <c r="H147" s="42">
        <f t="shared" si="13"/>
        <v>0.0057151413811176235</v>
      </c>
      <c r="I147" s="34">
        <f t="shared" si="16"/>
        <v>0.17050075519925656</v>
      </c>
    </row>
    <row r="148" spans="1:9" ht="11.25">
      <c r="A148" s="30" t="s">
        <v>174</v>
      </c>
      <c r="B148" s="31">
        <v>8.926080130838322</v>
      </c>
      <c r="C148" s="41">
        <f t="shared" si="14"/>
        <v>-0.004163289776069945</v>
      </c>
      <c r="D148" s="42">
        <f t="shared" si="11"/>
        <v>-0.0004662011526426583</v>
      </c>
      <c r="E148" s="34">
        <f t="shared" si="15"/>
        <v>-0.11865614682388954</v>
      </c>
      <c r="F148" s="5">
        <v>403.4</v>
      </c>
      <c r="G148" s="43">
        <f t="shared" si="12"/>
        <v>0.4199999999999591</v>
      </c>
      <c r="H148" s="42">
        <f t="shared" si="13"/>
        <v>0.0010422353466672267</v>
      </c>
      <c r="I148" s="34">
        <f t="shared" si="16"/>
        <v>0.1717206924596259</v>
      </c>
    </row>
    <row r="149" spans="1:9" ht="11.25">
      <c r="A149" s="30" t="s">
        <v>175</v>
      </c>
      <c r="B149" s="31">
        <v>9.005150676395813</v>
      </c>
      <c r="C149" s="41">
        <f t="shared" si="14"/>
        <v>0.07907054555749049</v>
      </c>
      <c r="D149" s="42">
        <f t="shared" si="11"/>
        <v>0.00885837281297903</v>
      </c>
      <c r="E149" s="34">
        <f t="shared" si="15"/>
        <v>-0.1108488743960281</v>
      </c>
      <c r="F149" s="5">
        <v>403.82</v>
      </c>
      <c r="G149" s="43">
        <f t="shared" si="12"/>
        <v>0.4200000000000159</v>
      </c>
      <c r="H149" s="42">
        <f t="shared" si="13"/>
        <v>0.0010411502231036588</v>
      </c>
      <c r="I149" s="34">
        <f t="shared" si="16"/>
        <v>0.17294062971999544</v>
      </c>
    </row>
    <row r="150" spans="1:9" ht="11.25">
      <c r="A150" s="30" t="s">
        <v>176</v>
      </c>
      <c r="B150" s="31">
        <v>9.06482449651949</v>
      </c>
      <c r="C150" s="41">
        <f t="shared" si="14"/>
        <v>0.0596738201236775</v>
      </c>
      <c r="D150" s="42">
        <f t="shared" si="11"/>
        <v>0.006626632054041446</v>
      </c>
      <c r="E150" s="34">
        <f t="shared" si="15"/>
        <v>-0.10495679704621379</v>
      </c>
      <c r="F150" s="5">
        <v>404.78</v>
      </c>
      <c r="G150" s="43">
        <f t="shared" si="12"/>
        <v>0.9599999999999795</v>
      </c>
      <c r="H150" s="42">
        <f t="shared" si="13"/>
        <v>0.002377296815412757</v>
      </c>
      <c r="I150" s="34">
        <f t="shared" si="16"/>
        <v>0.17572905774369701</v>
      </c>
    </row>
    <row r="151" spans="1:9" ht="11.25">
      <c r="A151" s="30" t="s">
        <v>177</v>
      </c>
      <c r="B151" s="31">
        <v>9.029941679249054</v>
      </c>
      <c r="C151" s="41">
        <f t="shared" si="14"/>
        <v>-0.03488281727043585</v>
      </c>
      <c r="D151" s="42">
        <f t="shared" si="11"/>
        <v>-0.003848151421335226</v>
      </c>
      <c r="E151" s="34">
        <f t="shared" si="15"/>
        <v>-0.10840105881981683</v>
      </c>
      <c r="F151" s="5">
        <v>403.69</v>
      </c>
      <c r="G151" s="43">
        <f t="shared" si="12"/>
        <v>-1.089999999999975</v>
      </c>
      <c r="H151" s="42">
        <f t="shared" si="13"/>
        <v>-0.0026928207915410222</v>
      </c>
      <c r="I151" s="34">
        <f t="shared" si="16"/>
        <v>0.17256303009178584</v>
      </c>
    </row>
    <row r="152" spans="1:9" ht="11.25">
      <c r="A152" s="30" t="s">
        <v>178</v>
      </c>
      <c r="B152" s="31">
        <v>9.03594375534289</v>
      </c>
      <c r="C152" s="41">
        <f t="shared" si="14"/>
        <v>0.00600207609383574</v>
      </c>
      <c r="D152" s="42">
        <f t="shared" si="11"/>
        <v>0.0006646860308775419</v>
      </c>
      <c r="E152" s="34">
        <f t="shared" si="15"/>
        <v>-0.10780842545846916</v>
      </c>
      <c r="F152" s="5">
        <v>412.68</v>
      </c>
      <c r="G152" s="43">
        <f t="shared" si="12"/>
        <v>8.990000000000009</v>
      </c>
      <c r="H152" s="42">
        <f t="shared" si="13"/>
        <v>0.022269563278753523</v>
      </c>
      <c r="I152" s="34">
        <f t="shared" si="16"/>
        <v>0.19867549668874185</v>
      </c>
    </row>
    <row r="153" spans="1:9" ht="11.25">
      <c r="A153" s="30" t="s">
        <v>179</v>
      </c>
      <c r="B153" s="31">
        <v>9.053047937506246</v>
      </c>
      <c r="C153" s="41">
        <f t="shared" si="14"/>
        <v>0.017104182163356185</v>
      </c>
      <c r="D153" s="42">
        <f t="shared" si="11"/>
        <v>0.0018929048947701342</v>
      </c>
      <c r="E153" s="34">
        <f t="shared" si="15"/>
        <v>-0.10611959165994682</v>
      </c>
      <c r="F153" s="5">
        <v>415.63</v>
      </c>
      <c r="G153" s="43">
        <f t="shared" si="12"/>
        <v>2.9499999999999886</v>
      </c>
      <c r="H153" s="42">
        <f t="shared" si="13"/>
        <v>0.007148395851507194</v>
      </c>
      <c r="I153" s="34">
        <f t="shared" si="16"/>
        <v>0.20724410363657497</v>
      </c>
    </row>
    <row r="154" spans="1:9" ht="11.25">
      <c r="A154" s="30" t="s">
        <v>180</v>
      </c>
      <c r="B154" s="31">
        <v>9.10023188830171</v>
      </c>
      <c r="C154" s="41">
        <f t="shared" si="14"/>
        <v>0.047183950795464114</v>
      </c>
      <c r="D154" s="42">
        <f t="shared" si="11"/>
        <v>0.005211940897825557</v>
      </c>
      <c r="E154" s="34">
        <f t="shared" si="15"/>
        <v>-0.10146073980195429</v>
      </c>
      <c r="F154" s="5">
        <v>418.21</v>
      </c>
      <c r="G154" s="43">
        <f t="shared" si="12"/>
        <v>2.579999999999984</v>
      </c>
      <c r="H154" s="42">
        <f t="shared" si="13"/>
        <v>0.006207444120972943</v>
      </c>
      <c r="I154" s="34">
        <f t="shared" si="16"/>
        <v>0.21473800395027307</v>
      </c>
    </row>
    <row r="155" spans="1:9" ht="11.25">
      <c r="A155" s="30" t="s">
        <v>181</v>
      </c>
      <c r="B155" s="31">
        <v>9.090517545490881</v>
      </c>
      <c r="C155" s="41">
        <f t="shared" si="14"/>
        <v>-0.00971434281082928</v>
      </c>
      <c r="D155" s="42">
        <f t="shared" si="11"/>
        <v>-0.0010674829971439525</v>
      </c>
      <c r="E155" s="34">
        <f t="shared" si="15"/>
        <v>-0.10241991518448201</v>
      </c>
      <c r="F155" s="5">
        <v>419.28</v>
      </c>
      <c r="G155" s="43">
        <f t="shared" si="12"/>
        <v>1.0699999999999932</v>
      </c>
      <c r="H155" s="42">
        <f t="shared" si="13"/>
        <v>0.002558523229956226</v>
      </c>
      <c r="I155" s="34">
        <f t="shared" si="16"/>
        <v>0.2178459393516905</v>
      </c>
    </row>
    <row r="156" spans="1:9" ht="11.25">
      <c r="A156" s="30" t="s">
        <v>182</v>
      </c>
      <c r="B156" s="31">
        <v>9.16119133230824</v>
      </c>
      <c r="C156" s="41">
        <f t="shared" si="14"/>
        <v>0.07067378681735903</v>
      </c>
      <c r="D156" s="42">
        <f t="shared" si="11"/>
        <v>0.007774451395500023</v>
      </c>
      <c r="E156" s="34">
        <f t="shared" si="15"/>
        <v>-0.09544172244151497</v>
      </c>
      <c r="F156" s="5">
        <v>424.05</v>
      </c>
      <c r="G156" s="43">
        <f t="shared" si="12"/>
        <v>4.770000000000039</v>
      </c>
      <c r="H156" s="42">
        <f t="shared" si="13"/>
        <v>0.01137664567830576</v>
      </c>
      <c r="I156" s="34">
        <f t="shared" si="16"/>
        <v>0.23170094109445813</v>
      </c>
    </row>
    <row r="157" spans="1:9" ht="11.25">
      <c r="A157" s="30" t="s">
        <v>183</v>
      </c>
      <c r="B157" s="31">
        <v>9.110295114795777</v>
      </c>
      <c r="C157" s="41">
        <f t="shared" si="14"/>
        <v>-0.05089621751246298</v>
      </c>
      <c r="D157" s="42">
        <f t="shared" si="11"/>
        <v>-0.0055556330684820715</v>
      </c>
      <c r="E157" s="34">
        <f t="shared" si="15"/>
        <v>-0.10046711632068808</v>
      </c>
      <c r="F157" s="5">
        <v>422.6</v>
      </c>
      <c r="G157" s="43">
        <f t="shared" si="12"/>
        <v>-1.4499999999999886</v>
      </c>
      <c r="H157" s="42">
        <f t="shared" si="13"/>
        <v>-0.003419408088668762</v>
      </c>
      <c r="I157" s="34">
        <f t="shared" si="16"/>
        <v>0.22748925293365882</v>
      </c>
    </row>
    <row r="158" spans="1:9" ht="11.25">
      <c r="A158" s="30" t="s">
        <v>184</v>
      </c>
      <c r="B158" s="31">
        <v>9.054784584448171</v>
      </c>
      <c r="C158" s="41">
        <f t="shared" si="14"/>
        <v>-0.05551053034760578</v>
      </c>
      <c r="D158" s="42">
        <f t="shared" si="11"/>
        <v>-0.006093164891821415</v>
      </c>
      <c r="E158" s="34">
        <f t="shared" si="15"/>
        <v>-0.10594811850656174</v>
      </c>
      <c r="F158" s="5">
        <v>431.73</v>
      </c>
      <c r="G158" s="43">
        <f t="shared" si="12"/>
        <v>9.129999999999995</v>
      </c>
      <c r="H158" s="42">
        <f t="shared" si="13"/>
        <v>0.021604353999053468</v>
      </c>
      <c r="I158" s="34">
        <f t="shared" si="16"/>
        <v>0.2540083652840713</v>
      </c>
    </row>
    <row r="159" spans="1:9" ht="11.25">
      <c r="A159" s="30" t="s">
        <v>185</v>
      </c>
      <c r="B159" s="31">
        <v>9.079764323104595</v>
      </c>
      <c r="C159" s="41">
        <f t="shared" si="14"/>
        <v>0.024979738656423223</v>
      </c>
      <c r="D159" s="42">
        <f t="shared" si="11"/>
        <v>0.0027587336201599514</v>
      </c>
      <c r="E159" s="34">
        <f t="shared" si="15"/>
        <v>-0.10348166752291853</v>
      </c>
      <c r="F159" s="5">
        <v>427.97</v>
      </c>
      <c r="G159" s="43">
        <f t="shared" si="12"/>
        <v>-3.759999999999991</v>
      </c>
      <c r="H159" s="42">
        <f t="shared" si="13"/>
        <v>-0.008709146920529013</v>
      </c>
      <c r="I159" s="34">
        <f t="shared" si="16"/>
        <v>0.24308702219123987</v>
      </c>
    </row>
    <row r="160" spans="1:9" ht="11.25">
      <c r="A160" s="30" t="s">
        <v>186</v>
      </c>
      <c r="B160" s="31">
        <v>9.236581571336584</v>
      </c>
      <c r="C160" s="41">
        <f t="shared" si="14"/>
        <v>0.15681724823198984</v>
      </c>
      <c r="D160" s="42">
        <f t="shared" si="11"/>
        <v>0.017271070333064565</v>
      </c>
      <c r="E160" s="34">
        <f t="shared" si="15"/>
        <v>-0.0879978363478251</v>
      </c>
      <c r="F160" s="5">
        <v>429.75</v>
      </c>
      <c r="G160" s="43">
        <f t="shared" si="12"/>
        <v>1.7799999999999727</v>
      </c>
      <c r="H160" s="42">
        <f t="shared" si="13"/>
        <v>0.004159170035282783</v>
      </c>
      <c r="I160" s="34">
        <f t="shared" si="16"/>
        <v>0.24825723248518658</v>
      </c>
    </row>
    <row r="161" spans="1:9" ht="11.25">
      <c r="A161" s="30" t="s">
        <v>187</v>
      </c>
      <c r="B161" s="31">
        <v>9.318459603599305</v>
      </c>
      <c r="C161" s="41">
        <f t="shared" si="14"/>
        <v>0.08187803226272017</v>
      </c>
      <c r="D161" s="42">
        <f t="shared" si="11"/>
        <v>0.008864538425861806</v>
      </c>
      <c r="E161" s="34">
        <f t="shared" si="15"/>
        <v>-0.07991335812366128</v>
      </c>
      <c r="F161" s="5">
        <v>442.3</v>
      </c>
      <c r="G161" s="43">
        <f t="shared" si="12"/>
        <v>12.550000000000011</v>
      </c>
      <c r="H161" s="42">
        <f t="shared" si="13"/>
        <v>0.029203025014543367</v>
      </c>
      <c r="I161" s="34">
        <f t="shared" si="16"/>
        <v>0.2847101196700362</v>
      </c>
    </row>
    <row r="162" spans="1:9" ht="11.25">
      <c r="A162" s="30" t="s">
        <v>188</v>
      </c>
      <c r="B162" s="31">
        <v>9.207466603477181</v>
      </c>
      <c r="C162" s="41">
        <f t="shared" si="14"/>
        <v>-0.11099300012212332</v>
      </c>
      <c r="D162" s="42">
        <f t="shared" si="11"/>
        <v>-0.01191108883267055</v>
      </c>
      <c r="E162" s="34">
        <f t="shared" si="15"/>
        <v>-0.09087259184880389</v>
      </c>
      <c r="F162" s="5">
        <v>446.2</v>
      </c>
      <c r="G162" s="43">
        <f t="shared" si="12"/>
        <v>3.8999999999999773</v>
      </c>
      <c r="H162" s="42">
        <f t="shared" si="13"/>
        <v>0.008817544652950435</v>
      </c>
      <c r="I162" s="34">
        <f t="shared" si="16"/>
        <v>0.296038108516324</v>
      </c>
    </row>
    <row r="163" spans="1:9" ht="11.25">
      <c r="A163" s="30" t="s">
        <v>189</v>
      </c>
      <c r="B163" s="31">
        <v>9.44453126214293</v>
      </c>
      <c r="C163" s="41">
        <f t="shared" si="14"/>
        <v>0.23706465866574788</v>
      </c>
      <c r="D163" s="42">
        <f aca="true" t="shared" si="17" ref="D163:D168">$C163/$B162</f>
        <v>0.02574700174054619</v>
      </c>
      <c r="E163" s="34">
        <f t="shared" si="15"/>
        <v>-0.06746528688875679</v>
      </c>
      <c r="F163" s="5">
        <v>454.19</v>
      </c>
      <c r="G163" s="43">
        <f t="shared" si="12"/>
        <v>7.990000000000009</v>
      </c>
      <c r="H163" s="42">
        <f t="shared" si="13"/>
        <v>0.01790676826535188</v>
      </c>
      <c r="I163" s="34">
        <f t="shared" si="16"/>
        <v>0.3192459625885908</v>
      </c>
    </row>
    <row r="164" spans="1:9" ht="11.25">
      <c r="A164" s="30" t="s">
        <v>190</v>
      </c>
      <c r="B164" s="31">
        <v>9.455633368212451</v>
      </c>
      <c r="C164" s="41">
        <f t="shared" si="14"/>
        <v>0.011102106069522222</v>
      </c>
      <c r="D164" s="42">
        <f t="shared" si="17"/>
        <v>0.0011755063074462412</v>
      </c>
      <c r="E164" s="34">
        <f t="shared" si="15"/>
        <v>-0.06636908645158196</v>
      </c>
      <c r="F164" s="5">
        <v>452.66</v>
      </c>
      <c r="G164" s="43">
        <f t="shared" si="12"/>
        <v>-1.5299999999999727</v>
      </c>
      <c r="H164" s="42">
        <f t="shared" si="13"/>
        <v>-0.0033686342720006444</v>
      </c>
      <c r="I164" s="34">
        <f t="shared" si="16"/>
        <v>0.3148019054258164</v>
      </c>
    </row>
    <row r="165" spans="1:9" ht="11.25">
      <c r="A165" s="30" t="s">
        <v>191</v>
      </c>
      <c r="B165" s="31">
        <v>9.436898564220133</v>
      </c>
      <c r="C165" s="41">
        <f t="shared" si="14"/>
        <v>-0.018734803992318305</v>
      </c>
      <c r="D165" s="42">
        <f t="shared" si="17"/>
        <v>-0.0019813378187124066</v>
      </c>
      <c r="E165" s="34">
        <f t="shared" si="15"/>
        <v>-0.06821892468931445</v>
      </c>
      <c r="F165" s="5">
        <v>458.79</v>
      </c>
      <c r="G165" s="43">
        <f t="shared" si="12"/>
        <v>6.1299999999999955</v>
      </c>
      <c r="H165" s="42">
        <f t="shared" si="13"/>
        <v>0.01354217293332743</v>
      </c>
      <c r="I165" s="34">
        <f t="shared" si="16"/>
        <v>0.3326071802021612</v>
      </c>
    </row>
    <row r="166" spans="1:9" ht="11.25">
      <c r="A166" s="30" t="s">
        <v>192</v>
      </c>
      <c r="B166" s="31">
        <v>9.43807811400382</v>
      </c>
      <c r="C166" s="41">
        <f t="shared" si="14"/>
        <v>0.0011795497836875057</v>
      </c>
      <c r="D166" s="42">
        <f t="shared" si="17"/>
        <v>0.00012499337315754902</v>
      </c>
      <c r="E166" s="34">
        <f t="shared" si="15"/>
        <v>-0.068102458229667</v>
      </c>
      <c r="F166" s="5">
        <v>450.02</v>
      </c>
      <c r="G166" s="43">
        <f t="shared" si="12"/>
        <v>-8.770000000000039</v>
      </c>
      <c r="H166" s="42">
        <f t="shared" si="13"/>
        <v>-0.0191154994659867</v>
      </c>
      <c r="I166" s="34">
        <f t="shared" si="16"/>
        <v>0.30713372836063674</v>
      </c>
    </row>
    <row r="167" spans="1:9" ht="11.25">
      <c r="A167" s="30" t="s">
        <v>193</v>
      </c>
      <c r="B167" s="31">
        <v>9.650252026549971</v>
      </c>
      <c r="C167" s="41">
        <f t="shared" si="14"/>
        <v>0.2121739125461506</v>
      </c>
      <c r="D167" s="42">
        <f t="shared" si="17"/>
        <v>0.022480626880099237</v>
      </c>
      <c r="E167" s="34">
        <f t="shared" si="15"/>
        <v>-0.047152817302646456</v>
      </c>
      <c r="F167" s="5">
        <v>453.89</v>
      </c>
      <c r="G167" s="43">
        <f t="shared" si="12"/>
        <v>3.8700000000000045</v>
      </c>
      <c r="H167" s="42">
        <f t="shared" si="13"/>
        <v>0.008599617794764687</v>
      </c>
      <c r="I167" s="34">
        <f t="shared" si="16"/>
        <v>0.318374578831184</v>
      </c>
    </row>
    <row r="168" spans="1:9" ht="11.25">
      <c r="A168" s="30" t="s">
        <v>194</v>
      </c>
      <c r="B168" s="31">
        <v>9.703870133513375</v>
      </c>
      <c r="C168" s="41">
        <f t="shared" si="14"/>
        <v>0.05361810696340363</v>
      </c>
      <c r="D168" s="42">
        <f t="shared" si="17"/>
        <v>0.005556135406193372</v>
      </c>
      <c r="E168" s="34">
        <f t="shared" si="15"/>
        <v>-0.04185866933417008</v>
      </c>
      <c r="F168" s="5">
        <v>459.34</v>
      </c>
      <c r="G168" s="43">
        <f t="shared" si="12"/>
        <v>5.449999999999989</v>
      </c>
      <c r="H168" s="42">
        <f t="shared" si="13"/>
        <v>0.012007314547577582</v>
      </c>
      <c r="I168" s="34">
        <f t="shared" si="16"/>
        <v>0.3342047170907401</v>
      </c>
    </row>
    <row r="169" spans="1:9" ht="11.25">
      <c r="A169" s="30" t="s">
        <v>195</v>
      </c>
      <c r="B169" s="31">
        <v>9.692773902022706</v>
      </c>
      <c r="C169" s="41">
        <f t="shared" si="14"/>
        <v>-0.011096231490668629</v>
      </c>
      <c r="D169" s="42">
        <f aca="true" t="shared" si="18" ref="D169:D280">$C169/$B168</f>
        <v>-0.001143485159838092</v>
      </c>
      <c r="E169" s="34">
        <f t="shared" si="15"/>
        <v>-0.042954289726813984</v>
      </c>
      <c r="F169" s="5">
        <v>457.51</v>
      </c>
      <c r="G169" s="43">
        <f t="shared" si="12"/>
        <v>-1.829999999999984</v>
      </c>
      <c r="H169" s="42">
        <f t="shared" si="13"/>
        <v>-0.003983977010493282</v>
      </c>
      <c r="I169" s="34">
        <f t="shared" si="16"/>
        <v>0.3288892761705589</v>
      </c>
    </row>
    <row r="170" spans="1:9" ht="11.25">
      <c r="A170" s="30" t="s">
        <v>196</v>
      </c>
      <c r="B170" s="31">
        <v>9.69992298295116</v>
      </c>
      <c r="C170" s="41">
        <f t="shared" si="14"/>
        <v>0.007149080928453344</v>
      </c>
      <c r="D170" s="42">
        <f t="shared" si="18"/>
        <v>0.000737568110090906</v>
      </c>
      <c r="E170" s="34">
        <f t="shared" si="15"/>
        <v>-0.04224840333101718</v>
      </c>
      <c r="F170" s="5">
        <v>461.82</v>
      </c>
      <c r="G170" s="43">
        <f t="shared" si="12"/>
        <v>4.310000000000002</v>
      </c>
      <c r="H170" s="42">
        <f t="shared" si="13"/>
        <v>0.009420559113462006</v>
      </c>
      <c r="I170" s="34">
        <f t="shared" si="16"/>
        <v>0.3414081561519694</v>
      </c>
    </row>
    <row r="171" spans="1:9" ht="11.25">
      <c r="A171" s="30" t="s">
        <v>197</v>
      </c>
      <c r="B171" s="31">
        <v>9.898699603626358</v>
      </c>
      <c r="C171" s="41">
        <f t="shared" si="14"/>
        <v>0.19877662067519886</v>
      </c>
      <c r="D171" s="42">
        <f t="shared" si="18"/>
        <v>0.02049259783037184</v>
      </c>
      <c r="E171" s="34">
        <f t="shared" si="15"/>
        <v>-0.02262158503908322</v>
      </c>
      <c r="F171" s="5">
        <v>477.73</v>
      </c>
      <c r="G171" s="43">
        <f t="shared" si="12"/>
        <v>15.910000000000025</v>
      </c>
      <c r="H171" s="42">
        <f t="shared" si="13"/>
        <v>0.03445065176908758</v>
      </c>
      <c r="I171" s="34">
        <f t="shared" si="16"/>
        <v>0.38762054141977476</v>
      </c>
    </row>
    <row r="172" spans="1:9" ht="11.25">
      <c r="A172" s="30" t="s">
        <v>198</v>
      </c>
      <c r="B172" s="31">
        <v>9.853139154286604</v>
      </c>
      <c r="C172" s="41">
        <f t="shared" si="14"/>
        <v>-0.04556044933975478</v>
      </c>
      <c r="D172" s="42">
        <f t="shared" si="18"/>
        <v>-0.004602670165186532</v>
      </c>
      <c r="E172" s="34">
        <f t="shared" si="15"/>
        <v>-0.027120135509721133</v>
      </c>
      <c r="F172" s="5">
        <v>489.8</v>
      </c>
      <c r="G172" s="43">
        <f t="shared" si="12"/>
        <v>12.069999999999993</v>
      </c>
      <c r="H172" s="42">
        <f t="shared" si="13"/>
        <v>0.025265317229397344</v>
      </c>
      <c r="I172" s="34">
        <f t="shared" si="16"/>
        <v>0.42267921459277347</v>
      </c>
    </row>
    <row r="173" spans="1:9" ht="11.25">
      <c r="A173" s="30" t="s">
        <v>199</v>
      </c>
      <c r="B173" s="31">
        <v>9.86958204042205</v>
      </c>
      <c r="C173" s="41">
        <f t="shared" si="14"/>
        <v>0.016442886135445534</v>
      </c>
      <c r="D173" s="42">
        <f t="shared" si="18"/>
        <v>0.0016687967030580364</v>
      </c>
      <c r="E173" s="34">
        <f t="shared" si="15"/>
        <v>-0.025496596799388205</v>
      </c>
      <c r="F173" s="5">
        <v>495.72</v>
      </c>
      <c r="G173" s="43">
        <f t="shared" si="12"/>
        <v>5.920000000000016</v>
      </c>
      <c r="H173" s="42">
        <f t="shared" si="13"/>
        <v>0.012086565945283822</v>
      </c>
      <c r="I173" s="34">
        <f t="shared" si="16"/>
        <v>0.4398745207389336</v>
      </c>
    </row>
    <row r="174" spans="1:9" ht="11.25">
      <c r="A174" s="30" t="s">
        <v>201</v>
      </c>
      <c r="B174" s="31">
        <v>9.812013723089787</v>
      </c>
      <c r="C174" s="41">
        <f t="shared" si="14"/>
        <v>-0.05756831733226164</v>
      </c>
      <c r="D174" s="42">
        <f t="shared" si="18"/>
        <v>-0.005832903267482223</v>
      </c>
      <c r="E174" s="34">
        <f t="shared" si="15"/>
        <v>-0.031180780884089602</v>
      </c>
      <c r="F174" s="5">
        <v>489.33</v>
      </c>
      <c r="G174" s="43">
        <f t="shared" si="12"/>
        <v>-6.390000000000043</v>
      </c>
      <c r="H174" s="42">
        <f t="shared" si="13"/>
        <v>-0.012890341321713957</v>
      </c>
      <c r="I174" s="34">
        <f t="shared" si="16"/>
        <v>0.42131404670616945</v>
      </c>
    </row>
    <row r="175" spans="1:9" ht="11.25">
      <c r="A175" s="30" t="s">
        <v>202</v>
      </c>
      <c r="B175" s="31">
        <v>9.9661836533119</v>
      </c>
      <c r="C175" s="41">
        <f t="shared" si="14"/>
        <v>0.15416993022211223</v>
      </c>
      <c r="D175" s="42">
        <f t="shared" si="18"/>
        <v>0.015712363901338323</v>
      </c>
      <c r="E175" s="34">
        <f t="shared" si="15"/>
        <v>-0.015958340758729987</v>
      </c>
      <c r="F175" s="5">
        <v>496.64</v>
      </c>
      <c r="G175" s="43">
        <f t="shared" si="12"/>
        <v>7.310000000000002</v>
      </c>
      <c r="H175" s="42">
        <f t="shared" si="13"/>
        <v>0.014938793860993609</v>
      </c>
      <c r="I175" s="34">
        <f t="shared" si="16"/>
        <v>0.4425467642616476</v>
      </c>
    </row>
    <row r="176" spans="1:9" ht="11.25">
      <c r="A176" s="30" t="s">
        <v>204</v>
      </c>
      <c r="B176" s="31">
        <v>9.972239982922275</v>
      </c>
      <c r="C176" s="41">
        <f t="shared" si="14"/>
        <v>0.006056329610375499</v>
      </c>
      <c r="D176" s="42">
        <f t="shared" si="18"/>
        <v>0.0006076879396420613</v>
      </c>
      <c r="E176" s="34">
        <f aca="true" t="shared" si="19" ref="E176:E181">(B176-$B$3)/$B$3</f>
        <v>-0.015360350510303704</v>
      </c>
      <c r="F176" s="5">
        <v>482.52</v>
      </c>
      <c r="G176" s="43">
        <f t="shared" si="12"/>
        <v>-14.120000000000005</v>
      </c>
      <c r="H176" s="42">
        <f t="shared" si="13"/>
        <v>-0.028431056701030938</v>
      </c>
      <c r="I176" s="34">
        <f aca="true" t="shared" si="20" ref="I176:I181">(F176-$F$3)/$F$3</f>
        <v>0.40153363541303594</v>
      </c>
    </row>
    <row r="177" spans="1:9" ht="11.25">
      <c r="A177" s="30" t="s">
        <v>206</v>
      </c>
      <c r="B177" s="31">
        <v>9.926475084370242</v>
      </c>
      <c r="C177" s="41">
        <f t="shared" si="14"/>
        <v>-0.04576489855203292</v>
      </c>
      <c r="D177" s="42">
        <f t="shared" si="18"/>
        <v>-0.00458922956431118</v>
      </c>
      <c r="E177" s="34">
        <f t="shared" si="19"/>
        <v>-0.019879087899934814</v>
      </c>
      <c r="F177" s="5">
        <v>474.28</v>
      </c>
      <c r="G177" s="43">
        <f t="shared" si="12"/>
        <v>-8.240000000000009</v>
      </c>
      <c r="H177" s="42">
        <f t="shared" si="13"/>
        <v>-0.01707701235181963</v>
      </c>
      <c r="I177" s="34">
        <f t="shared" si="20"/>
        <v>0.37759962820959686</v>
      </c>
    </row>
    <row r="178" spans="1:9" ht="11.25">
      <c r="A178" s="30" t="s">
        <v>207</v>
      </c>
      <c r="B178" s="31">
        <v>9.989983413018553</v>
      </c>
      <c r="C178" s="41">
        <f t="shared" si="14"/>
        <v>0.06350832864831091</v>
      </c>
      <c r="D178" s="42">
        <f t="shared" si="18"/>
        <v>0.006397873173359203</v>
      </c>
      <c r="E178" s="34">
        <f t="shared" si="19"/>
        <v>-0.013608398609761454</v>
      </c>
      <c r="F178" s="5">
        <v>484.39</v>
      </c>
      <c r="G178" s="43">
        <f t="shared" si="12"/>
        <v>10.110000000000014</v>
      </c>
      <c r="H178" s="42">
        <f t="shared" si="13"/>
        <v>0.02131652188580588</v>
      </c>
      <c r="I178" s="34">
        <f t="shared" si="20"/>
        <v>0.4069652608342048</v>
      </c>
    </row>
    <row r="179" spans="1:9" ht="11.25">
      <c r="A179" s="30" t="s">
        <v>209</v>
      </c>
      <c r="B179" s="31">
        <v>10.19493993072335</v>
      </c>
      <c r="C179" s="41">
        <f t="shared" si="14"/>
        <v>0.2049565177047974</v>
      </c>
      <c r="D179" s="42">
        <f t="shared" si="18"/>
        <v>0.020516202002668606</v>
      </c>
      <c r="E179" s="34">
        <f t="shared" si="19"/>
        <v>0.006628610738096451</v>
      </c>
      <c r="F179" s="5">
        <v>494.2</v>
      </c>
      <c r="G179" s="43">
        <f t="shared" si="12"/>
        <v>9.810000000000002</v>
      </c>
      <c r="H179" s="42">
        <f t="shared" si="13"/>
        <v>0.02025227605854787</v>
      </c>
      <c r="I179" s="34">
        <f t="shared" si="20"/>
        <v>0.4354595097014059</v>
      </c>
    </row>
    <row r="180" spans="1:9" ht="11.25">
      <c r="A180" s="30" t="s">
        <v>210</v>
      </c>
      <c r="B180" s="31">
        <v>10.409477708617427</v>
      </c>
      <c r="C180" s="41">
        <f t="shared" si="14"/>
        <v>0.21453777789407624</v>
      </c>
      <c r="D180" s="42">
        <f t="shared" si="18"/>
        <v>0.02104355487642921</v>
      </c>
      <c r="E180" s="34">
        <f t="shared" si="19"/>
        <v>0.027811655148347283</v>
      </c>
      <c r="F180" s="5">
        <v>503.19</v>
      </c>
      <c r="G180" s="43">
        <f t="shared" si="12"/>
        <v>8.990000000000009</v>
      </c>
      <c r="H180" s="42">
        <f t="shared" si="13"/>
        <v>0.01819101578308379</v>
      </c>
      <c r="I180" s="34">
        <f t="shared" si="20"/>
        <v>0.4615719762983619</v>
      </c>
    </row>
    <row r="181" spans="1:9" ht="11.25">
      <c r="A181" s="30" t="s">
        <v>211</v>
      </c>
      <c r="B181" s="31">
        <v>10.501229262463804</v>
      </c>
      <c r="C181" s="41">
        <f t="shared" si="14"/>
        <v>0.09175155384637712</v>
      </c>
      <c r="D181" s="42">
        <f t="shared" si="18"/>
        <v>0.008814232223238358</v>
      </c>
      <c r="E181" s="34">
        <f t="shared" si="19"/>
        <v>0.036871025758575794</v>
      </c>
      <c r="F181" s="5">
        <v>495.08</v>
      </c>
      <c r="G181" s="43">
        <f t="shared" si="12"/>
        <v>-8.110000000000014</v>
      </c>
      <c r="H181" s="42">
        <f t="shared" si="13"/>
        <v>-0.016117172439833887</v>
      </c>
      <c r="I181" s="34">
        <f t="shared" si="20"/>
        <v>0.4380155687231324</v>
      </c>
    </row>
    <row r="182" spans="1:9" ht="11.25">
      <c r="A182" s="30" t="s">
        <v>212</v>
      </c>
      <c r="B182" s="31">
        <v>10.46352466804738</v>
      </c>
      <c r="C182" s="41">
        <f t="shared" si="14"/>
        <v>-0.037704594416423376</v>
      </c>
      <c r="D182" s="42">
        <f t="shared" si="18"/>
        <v>-0.003590493405490807</v>
      </c>
      <c r="E182" s="34">
        <f aca="true" t="shared" si="21" ref="E182:E187">(B182-$B$3)/$B$3</f>
        <v>0.033148147178245144</v>
      </c>
      <c r="F182" s="5">
        <v>493.04</v>
      </c>
      <c r="G182" s="43">
        <f t="shared" si="12"/>
        <v>-2.0399999999999636</v>
      </c>
      <c r="H182" s="42">
        <f t="shared" si="13"/>
        <v>-0.0041205461743555865</v>
      </c>
      <c r="I182" s="34">
        <f aca="true" t="shared" si="22" ref="I182:I187">(F182-$F$3)/$F$3</f>
        <v>0.43209015917276655</v>
      </c>
    </row>
    <row r="183" spans="1:9" ht="11.25">
      <c r="A183" s="30" t="s">
        <v>213</v>
      </c>
      <c r="B183" s="31">
        <v>10.431304642512211</v>
      </c>
      <c r="C183" s="41">
        <f t="shared" si="14"/>
        <v>-0.03222002553516923</v>
      </c>
      <c r="D183" s="42">
        <f t="shared" si="18"/>
        <v>-0.003079270757927297</v>
      </c>
      <c r="E183" s="34">
        <f t="shared" si="21"/>
        <v>0.029966804300032405</v>
      </c>
      <c r="F183" s="5">
        <v>487.44</v>
      </c>
      <c r="G183" s="43">
        <f t="shared" si="12"/>
        <v>-5.600000000000023</v>
      </c>
      <c r="H183" s="42">
        <f t="shared" si="13"/>
        <v>-0.011358104819081661</v>
      </c>
      <c r="I183" s="34">
        <f t="shared" si="22"/>
        <v>0.4158243290345069</v>
      </c>
    </row>
    <row r="184" spans="1:9" ht="11.25">
      <c r="A184" s="30" t="s">
        <v>214</v>
      </c>
      <c r="B184" s="31">
        <v>10.474051345916475</v>
      </c>
      <c r="C184" s="41">
        <f t="shared" si="14"/>
        <v>0.0427467034042639</v>
      </c>
      <c r="D184" s="42">
        <f t="shared" si="18"/>
        <v>0.004097924935491966</v>
      </c>
      <c r="E184" s="34">
        <f t="shared" si="21"/>
        <v>0.034187530950102483</v>
      </c>
      <c r="F184" s="5">
        <v>488.58</v>
      </c>
      <c r="G184" s="43">
        <f t="shared" si="12"/>
        <v>1.1399999999999864</v>
      </c>
      <c r="H184" s="42">
        <f t="shared" si="13"/>
        <v>0.002338749384539608</v>
      </c>
      <c r="I184" s="34">
        <f t="shared" si="22"/>
        <v>0.41913558731265255</v>
      </c>
    </row>
    <row r="185" spans="1:9" ht="11.25">
      <c r="A185" s="30" t="s">
        <v>215</v>
      </c>
      <c r="B185" s="31">
        <v>10.327485186376482</v>
      </c>
      <c r="C185" s="41">
        <f t="shared" si="14"/>
        <v>-0.14656615953999363</v>
      </c>
      <c r="D185" s="42">
        <f t="shared" si="18"/>
        <v>-0.013993263418279448</v>
      </c>
      <c r="E185" s="34">
        <f t="shared" si="21"/>
        <v>0.019715872405617667</v>
      </c>
      <c r="F185" s="5">
        <v>480.44</v>
      </c>
      <c r="G185" s="43">
        <f t="shared" si="12"/>
        <v>-8.139999999999986</v>
      </c>
      <c r="H185" s="42">
        <f t="shared" si="13"/>
        <v>-0.01666052642351301</v>
      </c>
      <c r="I185" s="34">
        <f t="shared" si="22"/>
        <v>0.3954920413616825</v>
      </c>
    </row>
    <row r="186" spans="1:9" ht="11.25">
      <c r="A186" s="30" t="s">
        <v>216</v>
      </c>
      <c r="B186" s="31">
        <v>10.124791886024669</v>
      </c>
      <c r="C186" s="41">
        <f t="shared" si="14"/>
        <v>-0.20269330035181277</v>
      </c>
      <c r="D186" s="42">
        <f t="shared" si="18"/>
        <v>-0.019626588341099337</v>
      </c>
      <c r="E186" s="34">
        <f t="shared" si="21"/>
        <v>-0.0002976712469723681</v>
      </c>
      <c r="F186" s="5">
        <v>478.9</v>
      </c>
      <c r="G186" s="43">
        <f t="shared" si="12"/>
        <v>-1.5400000000000205</v>
      </c>
      <c r="H186" s="42">
        <f t="shared" si="13"/>
        <v>-0.003205395054533387</v>
      </c>
      <c r="I186" s="34">
        <f t="shared" si="22"/>
        <v>0.391018938073661</v>
      </c>
    </row>
    <row r="187" spans="1:9" ht="11.25">
      <c r="A187" s="30" t="s">
        <v>217</v>
      </c>
      <c r="B187" s="31">
        <v>10.225374545465925</v>
      </c>
      <c r="C187" s="41">
        <f t="shared" si="14"/>
        <v>0.10058265944125644</v>
      </c>
      <c r="D187" s="42">
        <f t="shared" si="18"/>
        <v>0.009934294015474184</v>
      </c>
      <c r="E187" s="34">
        <f t="shared" si="21"/>
        <v>0.009633665614814439</v>
      </c>
      <c r="F187" s="5">
        <v>484.86</v>
      </c>
      <c r="G187" s="43">
        <f t="shared" si="12"/>
        <v>5.960000000000036</v>
      </c>
      <c r="H187" s="42">
        <f t="shared" si="13"/>
        <v>0.012445186886615237</v>
      </c>
      <c r="I187" s="34">
        <f t="shared" si="22"/>
        <v>0.40833042872080877</v>
      </c>
    </row>
    <row r="188" spans="1:9" ht="11.25">
      <c r="A188" s="30" t="s">
        <v>218</v>
      </c>
      <c r="B188" s="31">
        <v>10.223180489622857</v>
      </c>
      <c r="C188" s="41">
        <f t="shared" si="14"/>
        <v>-0.002194055843068199</v>
      </c>
      <c r="D188" s="42">
        <f t="shared" si="18"/>
        <v>-0.0002145697287969832</v>
      </c>
      <c r="E188" s="34">
        <f aca="true" t="shared" si="23" ref="E188:E193">(B188-$B$3)/$B$3</f>
        <v>0.009417028792999164</v>
      </c>
      <c r="F188" s="5">
        <v>480.48</v>
      </c>
      <c r="G188" s="43">
        <f t="shared" si="12"/>
        <v>-4.3799999999999955</v>
      </c>
      <c r="H188" s="42">
        <f t="shared" si="13"/>
        <v>-0.009033535453532969</v>
      </c>
      <c r="I188" s="34">
        <f aca="true" t="shared" si="24" ref="I188:I193">(F188-$F$3)/$F$3</f>
        <v>0.3956082258626701</v>
      </c>
    </row>
    <row r="189" spans="1:9" ht="11.25">
      <c r="A189" s="30" t="s">
        <v>219</v>
      </c>
      <c r="B189" s="31">
        <v>10.211593944009225</v>
      </c>
      <c r="C189" s="41">
        <f t="shared" si="14"/>
        <v>-0.011586545613631927</v>
      </c>
      <c r="D189" s="42">
        <f t="shared" si="18"/>
        <v>-0.0011333601735186978</v>
      </c>
      <c r="E189" s="34">
        <f t="shared" si="23"/>
        <v>0.008272995734093602</v>
      </c>
      <c r="F189" s="5">
        <v>478.29</v>
      </c>
      <c r="G189" s="43">
        <f t="shared" si="12"/>
        <v>-2.1899999999999977</v>
      </c>
      <c r="H189" s="42">
        <f t="shared" si="13"/>
        <v>-0.004557942057942053</v>
      </c>
      <c r="I189" s="34">
        <f t="shared" si="24"/>
        <v>0.3892471244336007</v>
      </c>
    </row>
    <row r="190" spans="1:9" ht="11.25">
      <c r="A190" s="30" t="s">
        <v>220</v>
      </c>
      <c r="B190" s="31">
        <v>9.977545722613883</v>
      </c>
      <c r="C190" s="41">
        <f t="shared" si="14"/>
        <v>-0.23404822139534254</v>
      </c>
      <c r="D190" s="42">
        <f t="shared" si="18"/>
        <v>-0.022919851952461368</v>
      </c>
      <c r="E190" s="34">
        <f t="shared" si="23"/>
        <v>-0.014836472055796537</v>
      </c>
      <c r="F190" s="5">
        <v>474.9</v>
      </c>
      <c r="G190" s="43">
        <f t="shared" si="12"/>
        <v>-3.390000000000043</v>
      </c>
      <c r="H190" s="42">
        <f t="shared" si="13"/>
        <v>-0.007087750109766131</v>
      </c>
      <c r="I190" s="34">
        <f t="shared" si="24"/>
        <v>0.37940048797490417</v>
      </c>
    </row>
    <row r="191" spans="1:9" ht="11.25">
      <c r="A191" s="30" t="s">
        <v>221</v>
      </c>
      <c r="B191" s="31">
        <v>10.100363106118369</v>
      </c>
      <c r="C191" s="41">
        <f t="shared" si="14"/>
        <v>0.12281738350448634</v>
      </c>
      <c r="D191" s="42">
        <f t="shared" si="18"/>
        <v>0.012309378169635796</v>
      </c>
      <c r="E191" s="34">
        <f t="shared" si="23"/>
        <v>-0.002709721631398774</v>
      </c>
      <c r="F191" s="5">
        <v>484.11</v>
      </c>
      <c r="G191" s="43">
        <f t="shared" si="12"/>
        <v>9.210000000000036</v>
      </c>
      <c r="H191" s="42">
        <f t="shared" si="13"/>
        <v>0.01939355653821865</v>
      </c>
      <c r="I191" s="34">
        <f t="shared" si="24"/>
        <v>0.4061519693272919</v>
      </c>
    </row>
    <row r="192" spans="1:9" ht="11.25">
      <c r="A192" s="30" t="s">
        <v>222</v>
      </c>
      <c r="B192" s="31">
        <v>10.192283034653174</v>
      </c>
      <c r="C192" s="41">
        <f t="shared" si="14"/>
        <v>0.09191992853480535</v>
      </c>
      <c r="D192" s="42">
        <f t="shared" si="18"/>
        <v>0.009100655844652177</v>
      </c>
      <c r="E192" s="34">
        <f t="shared" si="23"/>
        <v>0.0063662739692512335</v>
      </c>
      <c r="F192" s="5">
        <v>491.54</v>
      </c>
      <c r="G192" s="43">
        <f t="shared" si="12"/>
        <v>7.430000000000007</v>
      </c>
      <c r="H192" s="42">
        <f t="shared" si="13"/>
        <v>0.015347751544070577</v>
      </c>
      <c r="I192" s="34">
        <f t="shared" si="24"/>
        <v>0.42773324038573274</v>
      </c>
    </row>
    <row r="193" spans="1:9" ht="11.25">
      <c r="A193" s="30" t="s">
        <v>223</v>
      </c>
      <c r="B193" s="31">
        <v>10.46086847755981</v>
      </c>
      <c r="C193" s="41">
        <f t="shared" si="14"/>
        <v>0.26858544290663566</v>
      </c>
      <c r="D193" s="42">
        <f t="shared" si="18"/>
        <v>0.02635184305552158</v>
      </c>
      <c r="E193" s="34">
        <f t="shared" si="23"/>
        <v>0.032885880077258976</v>
      </c>
      <c r="F193" s="5">
        <v>494.84</v>
      </c>
      <c r="G193" s="43">
        <f t="shared" si="12"/>
        <v>3.2999999999999545</v>
      </c>
      <c r="H193" s="42">
        <f t="shared" si="13"/>
        <v>0.006713594010660281</v>
      </c>
      <c r="I193" s="34">
        <f t="shared" si="24"/>
        <v>0.43731846171720695</v>
      </c>
    </row>
    <row r="194" spans="1:9" ht="11.25">
      <c r="A194" s="30" t="s">
        <v>224</v>
      </c>
      <c r="B194" s="31">
        <v>10.317195311950789</v>
      </c>
      <c r="C194" s="41">
        <f t="shared" si="14"/>
        <v>-0.14367316560902132</v>
      </c>
      <c r="D194" s="42">
        <f t="shared" si="18"/>
        <v>-0.013734343942591633</v>
      </c>
      <c r="E194" s="34">
        <f aca="true" t="shared" si="25" ref="E194:E199">(B194-$B$3)/$B$3</f>
        <v>0.018699870146831447</v>
      </c>
      <c r="F194" s="5">
        <v>489.99</v>
      </c>
      <c r="G194" s="43">
        <f t="shared" si="12"/>
        <v>-4.849999999999966</v>
      </c>
      <c r="H194" s="42">
        <f t="shared" si="13"/>
        <v>-0.00980114784576826</v>
      </c>
      <c r="I194" s="34">
        <f aca="true" t="shared" si="26" ref="I194:I199">(F194-$F$3)/$F$3</f>
        <v>0.4232310909724644</v>
      </c>
    </row>
    <row r="195" spans="1:9" ht="11.25">
      <c r="A195" s="30" t="s">
        <v>225</v>
      </c>
      <c r="B195" s="31">
        <v>10.632435093079089</v>
      </c>
      <c r="C195" s="41">
        <f t="shared" si="14"/>
        <v>0.31523978112829987</v>
      </c>
      <c r="D195" s="42">
        <f t="shared" si="18"/>
        <v>0.030554794359969707</v>
      </c>
      <c r="E195" s="34">
        <f t="shared" si="25"/>
        <v>0.049826035193695724</v>
      </c>
      <c r="F195" s="5">
        <v>489.77</v>
      </c>
      <c r="G195" s="43">
        <f t="shared" si="12"/>
        <v>-0.22000000000002728</v>
      </c>
      <c r="H195" s="42">
        <f t="shared" si="13"/>
        <v>-0.0004489887548726041</v>
      </c>
      <c r="I195" s="34">
        <f t="shared" si="26"/>
        <v>0.4225920762170327</v>
      </c>
    </row>
    <row r="196" spans="1:9" ht="11.25">
      <c r="A196" s="30" t="s">
        <v>226</v>
      </c>
      <c r="B196" s="31">
        <v>10.64890401590521</v>
      </c>
      <c r="C196" s="41">
        <f t="shared" si="14"/>
        <v>0.016468922826121002</v>
      </c>
      <c r="D196" s="42">
        <f t="shared" si="18"/>
        <v>0.0015489323642183365</v>
      </c>
      <c r="E196" s="34">
        <f t="shared" si="25"/>
        <v>0.05145214471640626</v>
      </c>
      <c r="F196" s="5">
        <v>498.38</v>
      </c>
      <c r="G196" s="43">
        <f t="shared" si="12"/>
        <v>8.610000000000014</v>
      </c>
      <c r="H196" s="42">
        <f t="shared" si="13"/>
        <v>0.017579680258080353</v>
      </c>
      <c r="I196" s="34">
        <f t="shared" si="26"/>
        <v>0.4476007900546068</v>
      </c>
    </row>
    <row r="197" spans="1:9" ht="11.25">
      <c r="A197" s="30" t="s">
        <v>227</v>
      </c>
      <c r="B197" s="31">
        <v>10.930078734980334</v>
      </c>
      <c r="C197" s="41">
        <f t="shared" si="14"/>
        <v>0.2811747190751248</v>
      </c>
      <c r="D197" s="42">
        <f t="shared" si="18"/>
        <v>0.026404099300281238</v>
      </c>
      <c r="E197" s="34">
        <f t="shared" si="25"/>
        <v>0.07921479155499193</v>
      </c>
      <c r="F197" s="5">
        <v>503.8</v>
      </c>
      <c r="G197" s="43">
        <f t="shared" si="12"/>
        <v>5.420000000000016</v>
      </c>
      <c r="H197" s="42">
        <f t="shared" si="13"/>
        <v>0.010875235763874986</v>
      </c>
      <c r="I197" s="34">
        <f t="shared" si="26"/>
        <v>0.46334378993842235</v>
      </c>
    </row>
    <row r="198" spans="1:9" ht="11.25">
      <c r="A198" s="30" t="s">
        <v>232</v>
      </c>
      <c r="B198" s="31">
        <v>11.417950553118903</v>
      </c>
      <c r="C198" s="41">
        <f t="shared" si="14"/>
        <v>0.4878718181385686</v>
      </c>
      <c r="D198" s="42">
        <f t="shared" si="18"/>
        <v>0.04463570940044526</v>
      </c>
      <c r="E198" s="34">
        <f t="shared" si="25"/>
        <v>0.12738630937150267</v>
      </c>
      <c r="F198" s="5">
        <v>513.19</v>
      </c>
      <c r="G198" s="43">
        <f t="shared" si="12"/>
        <v>9.390000000000043</v>
      </c>
      <c r="H198" s="42">
        <f t="shared" si="13"/>
        <v>0.01863834855101239</v>
      </c>
      <c r="I198" s="34">
        <f t="shared" si="26"/>
        <v>0.49061810154525415</v>
      </c>
    </row>
    <row r="199" spans="1:9" ht="11.25">
      <c r="A199" s="30" t="s">
        <v>234</v>
      </c>
      <c r="B199" s="31">
        <v>12.06818219404234</v>
      </c>
      <c r="C199" s="41">
        <f t="shared" si="14"/>
        <v>0.6502316409234368</v>
      </c>
      <c r="D199" s="42">
        <f t="shared" si="18"/>
        <v>0.056948192050614625</v>
      </c>
      <c r="E199" s="34">
        <f t="shared" si="25"/>
        <v>0.19158892143282463</v>
      </c>
      <c r="F199" s="5">
        <v>525.15</v>
      </c>
      <c r="G199" s="43">
        <f t="shared" si="12"/>
        <v>11.959999999999923</v>
      </c>
      <c r="H199" s="42">
        <f t="shared" si="13"/>
        <v>0.02330520859720556</v>
      </c>
      <c r="I199" s="34">
        <f t="shared" si="26"/>
        <v>0.5253572673405368</v>
      </c>
    </row>
    <row r="200" spans="1:9" ht="11.25">
      <c r="A200" s="30" t="s">
        <v>236</v>
      </c>
      <c r="B200" s="31">
        <v>12.080158356563139</v>
      </c>
      <c r="C200" s="41">
        <f t="shared" si="14"/>
        <v>0.01197616252079925</v>
      </c>
      <c r="D200" s="42">
        <f t="shared" si="18"/>
        <v>0.0009923750178971844</v>
      </c>
      <c r="E200" s="34">
        <f aca="true" t="shared" si="27" ref="E200:E205">(B200-$B$3)/$B$3</f>
        <v>0.1927714245100576</v>
      </c>
      <c r="F200" s="5">
        <v>518.83</v>
      </c>
      <c r="G200" s="43">
        <f t="shared" si="12"/>
        <v>-6.319999999999936</v>
      </c>
      <c r="H200" s="42">
        <f t="shared" si="13"/>
        <v>-0.012034656764733765</v>
      </c>
      <c r="I200" s="34">
        <f aca="true" t="shared" si="28" ref="I200:I205">(F200-$F$3)/$F$3</f>
        <v>0.5070001161845012</v>
      </c>
    </row>
    <row r="201" spans="1:9" ht="11.25">
      <c r="A201" s="30" t="s">
        <v>239</v>
      </c>
      <c r="B201" s="31">
        <v>12.196756646260782</v>
      </c>
      <c r="C201" s="41">
        <f t="shared" si="14"/>
        <v>0.11659828969764341</v>
      </c>
      <c r="D201" s="42">
        <f t="shared" si="18"/>
        <v>0.00965204977087868</v>
      </c>
      <c r="E201" s="34">
        <f t="shared" si="27"/>
        <v>0.20428411366471055</v>
      </c>
      <c r="F201" s="5">
        <v>519.04</v>
      </c>
      <c r="G201" s="43">
        <f t="shared" si="12"/>
        <v>0.2099999999999227</v>
      </c>
      <c r="H201" s="42">
        <f t="shared" si="13"/>
        <v>0.00040475685677374606</v>
      </c>
      <c r="I201" s="34">
        <f t="shared" si="28"/>
        <v>0.5076100848146857</v>
      </c>
    </row>
    <row r="202" spans="1:9" ht="11.25">
      <c r="A202" s="30" t="s">
        <v>257</v>
      </c>
      <c r="B202" s="31">
        <v>12.595021225817753</v>
      </c>
      <c r="C202" s="41">
        <f t="shared" si="14"/>
        <v>0.3982645795569706</v>
      </c>
      <c r="D202" s="42">
        <f t="shared" si="18"/>
        <v>0.03265331850980797</v>
      </c>
      <c r="E202" s="34">
        <f t="shared" si="27"/>
        <v>0.24360798640450612</v>
      </c>
      <c r="F202" s="5">
        <v>520.51</v>
      </c>
      <c r="G202" s="43">
        <f t="shared" si="12"/>
        <v>1.4700000000000273</v>
      </c>
      <c r="H202" s="42">
        <f t="shared" si="13"/>
        <v>0.0028321516646116433</v>
      </c>
      <c r="I202" s="34">
        <f t="shared" si="28"/>
        <v>0.511879865225979</v>
      </c>
    </row>
    <row r="203" spans="1:9" ht="11.25">
      <c r="A203" s="30" t="s">
        <v>260</v>
      </c>
      <c r="B203" s="31">
        <v>12.734832209555565</v>
      </c>
      <c r="C203" s="41">
        <f t="shared" si="14"/>
        <v>0.13981098373781187</v>
      </c>
      <c r="D203" s="42">
        <f t="shared" si="18"/>
        <v>0.01110049607945257</v>
      </c>
      <c r="E203" s="34">
        <f t="shared" si="27"/>
        <v>0.2574126519819653</v>
      </c>
      <c r="F203" s="5">
        <v>525.94</v>
      </c>
      <c r="G203" s="43">
        <f t="shared" si="12"/>
        <v>5.430000000000064</v>
      </c>
      <c r="H203" s="42">
        <f t="shared" si="13"/>
        <v>0.010432076232925523</v>
      </c>
      <c r="I203" s="34">
        <f t="shared" si="28"/>
        <v>0.5276519112350415</v>
      </c>
    </row>
    <row r="204" spans="1:9" ht="11.25">
      <c r="A204" s="30" t="s">
        <v>261</v>
      </c>
      <c r="B204" s="31">
        <v>12.916545232587971</v>
      </c>
      <c r="C204" s="41">
        <f t="shared" si="14"/>
        <v>0.18171302303240644</v>
      </c>
      <c r="D204" s="42">
        <f t="shared" si="18"/>
        <v>0.01426897661800823</v>
      </c>
      <c r="E204" s="34">
        <f t="shared" si="27"/>
        <v>0.27535464371228363</v>
      </c>
      <c r="F204" s="5">
        <v>521.1</v>
      </c>
      <c r="G204" s="43">
        <f t="shared" si="12"/>
        <v>-4.840000000000032</v>
      </c>
      <c r="H204" s="42">
        <f t="shared" si="13"/>
        <v>-0.00920257063543376</v>
      </c>
      <c r="I204" s="34">
        <f t="shared" si="28"/>
        <v>0.5135935866155457</v>
      </c>
    </row>
    <row r="205" spans="1:9" ht="11.25">
      <c r="A205" s="30" t="s">
        <v>262</v>
      </c>
      <c r="B205" s="31">
        <v>12.89076791074677</v>
      </c>
      <c r="C205" s="41">
        <f t="shared" si="14"/>
        <v>-0.025777321841200518</v>
      </c>
      <c r="D205" s="42">
        <f t="shared" si="18"/>
        <v>-0.001995682388520212</v>
      </c>
      <c r="E205" s="34">
        <f t="shared" si="27"/>
        <v>0.2728094409107096</v>
      </c>
      <c r="F205" s="5">
        <v>530.21</v>
      </c>
      <c r="G205" s="43">
        <f t="shared" si="12"/>
        <v>9.110000000000014</v>
      </c>
      <c r="H205" s="42">
        <f t="shared" si="13"/>
        <v>0.01748224908846673</v>
      </c>
      <c r="I205" s="34">
        <f t="shared" si="28"/>
        <v>0.5400546067154643</v>
      </c>
    </row>
    <row r="206" spans="1:9" ht="11.25">
      <c r="A206" s="30" t="s">
        <v>263</v>
      </c>
      <c r="B206" s="31">
        <v>12.975629686463213</v>
      </c>
      <c r="C206" s="41">
        <f t="shared" si="14"/>
        <v>0.08486177571644227</v>
      </c>
      <c r="D206" s="42">
        <f t="shared" si="18"/>
        <v>0.0065831435570021185</v>
      </c>
      <c r="E206" s="34">
        <f aca="true" t="shared" si="29" ref="E206:E211">(B206-$B$3)/$B$3</f>
        <v>0.2811885281809324</v>
      </c>
      <c r="F206" s="5">
        <v>534.81</v>
      </c>
      <c r="G206" s="43">
        <f t="shared" si="12"/>
        <v>4.599999999999909</v>
      </c>
      <c r="H206" s="42">
        <f t="shared" si="13"/>
        <v>0.008675807698836137</v>
      </c>
      <c r="I206" s="34">
        <f aca="true" t="shared" si="30" ref="I206:I211">(F206-$F$3)/$F$3</f>
        <v>0.5534158243290345</v>
      </c>
    </row>
    <row r="207" spans="1:9" ht="11.25">
      <c r="A207" s="30" t="s">
        <v>264</v>
      </c>
      <c r="B207" s="31">
        <v>12.997352258045105</v>
      </c>
      <c r="C207" s="41">
        <f t="shared" si="14"/>
        <v>0.021722571581891614</v>
      </c>
      <c r="D207" s="42">
        <f t="shared" si="18"/>
        <v>0.0016741053888547407</v>
      </c>
      <c r="E207" s="34">
        <f t="shared" si="29"/>
        <v>0.28333337280009896</v>
      </c>
      <c r="F207" s="5">
        <v>529.53</v>
      </c>
      <c r="G207" s="43">
        <f t="shared" si="12"/>
        <v>-5.279999999999973</v>
      </c>
      <c r="H207" s="42">
        <f t="shared" si="13"/>
        <v>-0.009872665058618899</v>
      </c>
      <c r="I207" s="34">
        <f t="shared" si="30"/>
        <v>0.5380794701986755</v>
      </c>
    </row>
    <row r="208" spans="1:9" ht="11.25">
      <c r="A208" s="30" t="s">
        <v>265</v>
      </c>
      <c r="B208" s="31">
        <v>13.023354397493028</v>
      </c>
      <c r="C208" s="41">
        <f t="shared" si="14"/>
        <v>0.02600213944792351</v>
      </c>
      <c r="D208" s="42">
        <f t="shared" si="18"/>
        <v>0.0020005720343409714</v>
      </c>
      <c r="E208" s="34">
        <f t="shared" si="29"/>
        <v>0.2859007736564593</v>
      </c>
      <c r="F208" s="5">
        <v>531.06</v>
      </c>
      <c r="G208" s="43">
        <f t="shared" si="12"/>
        <v>1.5299999999999727</v>
      </c>
      <c r="H208" s="42">
        <f t="shared" si="13"/>
        <v>0.0028893547107812076</v>
      </c>
      <c r="I208" s="34">
        <f t="shared" si="30"/>
        <v>0.5425235273614499</v>
      </c>
    </row>
    <row r="209" spans="1:9" ht="11.25">
      <c r="A209" s="30" t="s">
        <v>266</v>
      </c>
      <c r="B209" s="31">
        <v>13.089571235322198</v>
      </c>
      <c r="C209" s="41">
        <f t="shared" si="14"/>
        <v>0.06621683782917032</v>
      </c>
      <c r="D209" s="42">
        <f t="shared" si="18"/>
        <v>0.005084468702004834</v>
      </c>
      <c r="E209" s="34">
        <f t="shared" si="29"/>
        <v>0.29243889589399935</v>
      </c>
      <c r="F209" s="5">
        <v>525.82</v>
      </c>
      <c r="G209" s="43">
        <f t="shared" si="12"/>
        <v>-5.239999999999895</v>
      </c>
      <c r="H209" s="42">
        <f t="shared" si="13"/>
        <v>-0.009867058336157678</v>
      </c>
      <c r="I209" s="34">
        <f t="shared" si="30"/>
        <v>0.5273033577320788</v>
      </c>
    </row>
    <row r="210" spans="1:9" ht="11.25">
      <c r="A210" s="30" t="s">
        <v>267</v>
      </c>
      <c r="B210" s="31">
        <v>13.499870589872046</v>
      </c>
      <c r="C210" s="41">
        <f t="shared" si="14"/>
        <v>0.41029935454984745</v>
      </c>
      <c r="D210" s="42">
        <f t="shared" si="18"/>
        <v>0.03134551523297073</v>
      </c>
      <c r="E210" s="34">
        <f t="shared" si="29"/>
        <v>0.3329510589929286</v>
      </c>
      <c r="F210" s="5">
        <v>535.91</v>
      </c>
      <c r="G210" s="43">
        <f t="shared" si="12"/>
        <v>10.089999999999918</v>
      </c>
      <c r="H210" s="42">
        <f t="shared" si="13"/>
        <v>0.019189076109695176</v>
      </c>
      <c r="I210" s="34">
        <f t="shared" si="30"/>
        <v>0.5566108981061927</v>
      </c>
    </row>
    <row r="211" spans="1:9" ht="11.25">
      <c r="A211" s="30" t="s">
        <v>268</v>
      </c>
      <c r="B211" s="31">
        <v>13.497939498936441</v>
      </c>
      <c r="C211" s="41">
        <f t="shared" si="14"/>
        <v>-0.001931090935604729</v>
      </c>
      <c r="D211" s="42">
        <f t="shared" si="18"/>
        <v>-0.00014304514422927014</v>
      </c>
      <c r="E211" s="34">
        <f t="shared" si="29"/>
        <v>0.3327603868164444</v>
      </c>
      <c r="F211" s="5">
        <v>537.71</v>
      </c>
      <c r="G211" s="43">
        <f t="shared" si="12"/>
        <v>1.8000000000000682</v>
      </c>
      <c r="H211" s="42">
        <f t="shared" si="13"/>
        <v>0.0033587729282903256</v>
      </c>
      <c r="I211" s="34">
        <f t="shared" si="30"/>
        <v>0.5618392006506334</v>
      </c>
    </row>
    <row r="212" spans="1:9" ht="11.25">
      <c r="A212" s="30" t="s">
        <v>270</v>
      </c>
      <c r="B212" s="31">
        <v>13.481756377568791</v>
      </c>
      <c r="C212" s="41">
        <f t="shared" si="14"/>
        <v>-0.01618312136764999</v>
      </c>
      <c r="D212" s="42">
        <f t="shared" si="18"/>
        <v>-0.001198932723689058</v>
      </c>
      <c r="E212" s="34">
        <f aca="true" t="shared" si="31" ref="E212:E217">(B212-$B$3)/$B$3</f>
        <v>0.3311624967758537</v>
      </c>
      <c r="F212" s="5">
        <v>545.23</v>
      </c>
      <c r="G212" s="43">
        <f t="shared" si="12"/>
        <v>7.519999999999982</v>
      </c>
      <c r="H212" s="42">
        <f t="shared" si="13"/>
        <v>0.0139852336761451</v>
      </c>
      <c r="I212" s="34">
        <f aca="true" t="shared" si="32" ref="I212:I217">(F212-$F$3)/$F$3</f>
        <v>0.5836818868362962</v>
      </c>
    </row>
    <row r="213" spans="1:9" ht="11.25">
      <c r="A213" s="30" t="s">
        <v>271</v>
      </c>
      <c r="B213" s="31">
        <v>13.62377340096962</v>
      </c>
      <c r="C213" s="41">
        <f t="shared" si="14"/>
        <v>0.1420170234008289</v>
      </c>
      <c r="D213" s="42">
        <f t="shared" si="18"/>
        <v>0.0105340149624065</v>
      </c>
      <c r="E213" s="34">
        <f t="shared" si="31"/>
        <v>0.3451849824342849</v>
      </c>
      <c r="F213" s="5">
        <v>541.9</v>
      </c>
      <c r="G213" s="43">
        <f t="shared" si="12"/>
        <v>-3.330000000000041</v>
      </c>
      <c r="H213" s="42">
        <f t="shared" si="13"/>
        <v>-0.006107514260037123</v>
      </c>
      <c r="I213" s="34">
        <f t="shared" si="32"/>
        <v>0.574009527129081</v>
      </c>
    </row>
    <row r="214" spans="1:9" ht="11.25">
      <c r="A214" s="30" t="s">
        <v>272</v>
      </c>
      <c r="B214" s="31">
        <v>13.652940521217362</v>
      </c>
      <c r="C214" s="41">
        <f t="shared" si="14"/>
        <v>0.029167120247741707</v>
      </c>
      <c r="D214" s="42">
        <f t="shared" si="18"/>
        <v>0.002140898808964765</v>
      </c>
      <c r="E214" s="34">
        <f t="shared" si="31"/>
        <v>0.34806488736101576</v>
      </c>
      <c r="F214" s="5">
        <v>539.88</v>
      </c>
      <c r="G214" s="43">
        <f t="shared" si="12"/>
        <v>-2.019999999999982</v>
      </c>
      <c r="H214" s="42">
        <f t="shared" si="13"/>
        <v>-0.0037276250230669533</v>
      </c>
      <c r="I214" s="34">
        <f t="shared" si="32"/>
        <v>0.5681422098292089</v>
      </c>
    </row>
    <row r="215" spans="1:9" ht="11.25">
      <c r="A215" s="30" t="s">
        <v>273</v>
      </c>
      <c r="B215" s="31">
        <v>14.040279281786503</v>
      </c>
      <c r="C215" s="41">
        <f t="shared" si="14"/>
        <v>0.3873387605691416</v>
      </c>
      <c r="D215" s="42">
        <f t="shared" si="18"/>
        <v>0.028370354354594715</v>
      </c>
      <c r="E215" s="34">
        <f t="shared" si="31"/>
        <v>0.3863099659084346</v>
      </c>
      <c r="F215" s="5">
        <v>545.43</v>
      </c>
      <c r="G215" s="43">
        <f t="shared" si="12"/>
        <v>5.5499999999999545</v>
      </c>
      <c r="H215" s="42">
        <f t="shared" si="13"/>
        <v>0.010280062236052372</v>
      </c>
      <c r="I215" s="34">
        <f t="shared" si="32"/>
        <v>0.5842628093412339</v>
      </c>
    </row>
    <row r="216" spans="1:9" ht="11.25">
      <c r="A216" s="30" t="s">
        <v>274</v>
      </c>
      <c r="B216" s="31">
        <v>14.640902486542988</v>
      </c>
      <c r="C216" s="41">
        <f t="shared" si="14"/>
        <v>0.6006232047564843</v>
      </c>
      <c r="D216" s="42">
        <f t="shared" si="18"/>
        <v>0.04277857959247519</v>
      </c>
      <c r="E216" s="34">
        <f t="shared" si="31"/>
        <v>0.4456143371248901</v>
      </c>
      <c r="F216" s="5">
        <v>557.81</v>
      </c>
      <c r="G216" s="43">
        <f t="shared" si="12"/>
        <v>12.379999999999995</v>
      </c>
      <c r="H216" s="42">
        <f t="shared" si="13"/>
        <v>0.02269768806262948</v>
      </c>
      <c r="I216" s="34">
        <f t="shared" si="32"/>
        <v>0.6202219123968862</v>
      </c>
    </row>
    <row r="217" spans="1:9" ht="11.25">
      <c r="A217" s="30" t="s">
        <v>276</v>
      </c>
      <c r="B217" s="31">
        <v>15.07720931035174</v>
      </c>
      <c r="C217" s="41">
        <f t="shared" si="14"/>
        <v>0.43630682380875285</v>
      </c>
      <c r="D217" s="42">
        <f t="shared" si="18"/>
        <v>0.029800541613454436</v>
      </c>
      <c r="E217" s="34">
        <f t="shared" si="31"/>
        <v>0.48869442733538676</v>
      </c>
      <c r="F217" s="5">
        <v>564.41</v>
      </c>
      <c r="G217" s="43">
        <f t="shared" si="12"/>
        <v>6.600000000000023</v>
      </c>
      <c r="H217" s="42">
        <f t="shared" si="13"/>
        <v>0.01183198580161708</v>
      </c>
      <c r="I217" s="34">
        <f t="shared" si="32"/>
        <v>0.639392355059835</v>
      </c>
    </row>
    <row r="218" spans="1:9" ht="11.25">
      <c r="A218" s="30" t="s">
        <v>277</v>
      </c>
      <c r="B218" s="31">
        <v>14.853237191723833</v>
      </c>
      <c r="C218" s="41">
        <f t="shared" si="14"/>
        <v>-0.22397211862790734</v>
      </c>
      <c r="D218" s="42">
        <f t="shared" si="18"/>
        <v>-0.0148550115619959</v>
      </c>
      <c r="E218" s="34">
        <f aca="true" t="shared" si="33" ref="E218:E223">(B218-$B$3)/$B$3</f>
        <v>0.46657985440504074</v>
      </c>
      <c r="F218" s="5">
        <v>557.55</v>
      </c>
      <c r="G218" s="43">
        <f t="shared" si="12"/>
        <v>-6.860000000000014</v>
      </c>
      <c r="H218" s="42">
        <f t="shared" si="13"/>
        <v>-0.012154285005581075</v>
      </c>
      <c r="I218" s="34">
        <f aca="true" t="shared" si="34" ref="I218:I223">(F218-$F$3)/$F$3</f>
        <v>0.6194667131404671</v>
      </c>
    </row>
    <row r="219" spans="1:9" ht="11.25">
      <c r="A219" s="30" t="s">
        <v>278</v>
      </c>
      <c r="B219" s="31">
        <v>15.02720022133022</v>
      </c>
      <c r="C219" s="41">
        <f t="shared" si="14"/>
        <v>0.1739630296063872</v>
      </c>
      <c r="D219" s="42">
        <f t="shared" si="18"/>
        <v>0.011712128969657789</v>
      </c>
      <c r="E219" s="34">
        <f t="shared" si="33"/>
        <v>0.4837566268041345</v>
      </c>
      <c r="F219" s="5">
        <v>560.57</v>
      </c>
      <c r="G219" s="43">
        <f t="shared" si="12"/>
        <v>3.0200000000000955</v>
      </c>
      <c r="H219" s="42">
        <f t="shared" si="13"/>
        <v>0.005416554569097114</v>
      </c>
      <c r="I219" s="34">
        <f t="shared" si="34"/>
        <v>0.6282386429650287</v>
      </c>
    </row>
    <row r="220" spans="1:9" ht="11.25">
      <c r="A220" s="30" t="s">
        <v>279</v>
      </c>
      <c r="B220" s="31">
        <v>15.083477353928107</v>
      </c>
      <c r="C220" s="41">
        <f t="shared" si="14"/>
        <v>0.05627713259788614</v>
      </c>
      <c r="D220" s="42">
        <f t="shared" si="18"/>
        <v>0.003745017818954996</v>
      </c>
      <c r="E220" s="34">
        <f t="shared" si="33"/>
        <v>0.4893133218105085</v>
      </c>
      <c r="F220" s="5">
        <v>561.66</v>
      </c>
      <c r="G220" s="43">
        <f t="shared" si="12"/>
        <v>1.0899999999999181</v>
      </c>
      <c r="H220" s="42">
        <f t="shared" si="13"/>
        <v>0.0019444493997179979</v>
      </c>
      <c r="I220" s="34">
        <f t="shared" si="34"/>
        <v>0.6314046706169397</v>
      </c>
    </row>
    <row r="221" spans="1:9" ht="11.25">
      <c r="A221" s="30" t="s">
        <v>281</v>
      </c>
      <c r="B221" s="31">
        <v>15.322644649030458</v>
      </c>
      <c r="C221" s="41">
        <f t="shared" si="14"/>
        <v>0.23916729510235157</v>
      </c>
      <c r="D221" s="42">
        <f t="shared" si="18"/>
        <v>0.015856243854807564</v>
      </c>
      <c r="E221" s="34">
        <f t="shared" si="33"/>
        <v>0.5129282370173495</v>
      </c>
      <c r="F221" s="5">
        <v>568.37</v>
      </c>
      <c r="G221" s="43">
        <f t="shared" si="12"/>
        <v>6.710000000000036</v>
      </c>
      <c r="H221" s="42">
        <f t="shared" si="13"/>
        <v>0.011946729338033752</v>
      </c>
      <c r="I221" s="34">
        <f t="shared" si="34"/>
        <v>0.6508946206576044</v>
      </c>
    </row>
    <row r="222" spans="1:9" ht="11.25">
      <c r="A222" s="30" t="s">
        <v>282</v>
      </c>
      <c r="B222" s="31">
        <v>15.522653119430693</v>
      </c>
      <c r="C222" s="41">
        <f t="shared" si="14"/>
        <v>0.20000847040023473</v>
      </c>
      <c r="D222" s="42">
        <f t="shared" si="18"/>
        <v>0.013053129859856816</v>
      </c>
      <c r="E222" s="34">
        <f t="shared" si="33"/>
        <v>0.5326766857637811</v>
      </c>
      <c r="F222" s="5">
        <v>566.54</v>
      </c>
      <c r="G222" s="43">
        <f t="shared" si="12"/>
        <v>-1.830000000000041</v>
      </c>
      <c r="H222" s="42">
        <f t="shared" si="13"/>
        <v>-0.003219733624223729</v>
      </c>
      <c r="I222" s="34">
        <f t="shared" si="34"/>
        <v>0.6455791797374231</v>
      </c>
    </row>
    <row r="223" spans="1:9" ht="11.25">
      <c r="A223" s="30" t="s">
        <v>283</v>
      </c>
      <c r="B223" s="31">
        <v>15.425255740439693</v>
      </c>
      <c r="C223" s="41">
        <f t="shared" si="14"/>
        <v>-0.09739737899099943</v>
      </c>
      <c r="D223" s="42">
        <f t="shared" si="18"/>
        <v>-0.006274531695170134</v>
      </c>
      <c r="E223" s="34">
        <f t="shared" si="33"/>
        <v>0.523059857320508</v>
      </c>
      <c r="F223" s="5">
        <v>568.83</v>
      </c>
      <c r="G223" s="43">
        <f t="shared" si="12"/>
        <v>2.2900000000000773</v>
      </c>
      <c r="H223" s="42">
        <f t="shared" si="13"/>
        <v>0.004042079994351815</v>
      </c>
      <c r="I223" s="34">
        <f t="shared" si="34"/>
        <v>0.6522307424189615</v>
      </c>
    </row>
    <row r="224" spans="1:9" ht="11.25">
      <c r="A224" s="30" t="s">
        <v>284</v>
      </c>
      <c r="B224" s="31">
        <v>14.62373284729087</v>
      </c>
      <c r="C224" s="41">
        <f t="shared" si="14"/>
        <v>-0.8015228931488227</v>
      </c>
      <c r="D224" s="42">
        <f t="shared" si="18"/>
        <v>-0.051961724760744586</v>
      </c>
      <c r="E224" s="34">
        <f aca="true" t="shared" si="35" ref="E224:E229">(B224-$B$3)/$B$3</f>
        <v>0.44391904022028084</v>
      </c>
      <c r="F224" s="5">
        <v>558.7</v>
      </c>
      <c r="G224" s="43">
        <f t="shared" si="12"/>
        <v>-10.129999999999995</v>
      </c>
      <c r="H224" s="42">
        <f t="shared" si="13"/>
        <v>-0.017808484081359974</v>
      </c>
      <c r="I224" s="34">
        <f aca="true" t="shared" si="36" ref="I224:I229">(F224-$F$3)/$F$3</f>
        <v>0.6228070175438599</v>
      </c>
    </row>
    <row r="225" spans="1:9" ht="11.25">
      <c r="A225" s="30" t="s">
        <v>285</v>
      </c>
      <c r="B225" s="31">
        <v>14.595504125448484</v>
      </c>
      <c r="C225" s="41">
        <f t="shared" si="14"/>
        <v>-0.028228721842387117</v>
      </c>
      <c r="D225" s="42">
        <f t="shared" si="18"/>
        <v>-0.0019303362648351887</v>
      </c>
      <c r="E225" s="34">
        <f t="shared" si="35"/>
        <v>0.4411317909334576</v>
      </c>
      <c r="F225" s="5">
        <v>553.32</v>
      </c>
      <c r="G225" s="43">
        <f t="shared" si="12"/>
        <v>-5.3799999999999955</v>
      </c>
      <c r="H225" s="42">
        <f t="shared" si="13"/>
        <v>-0.00962949704671558</v>
      </c>
      <c r="I225" s="34">
        <f t="shared" si="36"/>
        <v>0.607180202161032</v>
      </c>
    </row>
    <row r="226" spans="1:9" ht="11.25">
      <c r="A226" s="30" t="s">
        <v>286</v>
      </c>
      <c r="B226" s="31">
        <v>14.840730006192771</v>
      </c>
      <c r="C226" s="41">
        <f t="shared" si="14"/>
        <v>0.24522588074428775</v>
      </c>
      <c r="D226" s="42">
        <f t="shared" si="18"/>
        <v>0.01680146698850339</v>
      </c>
      <c r="E226" s="34">
        <f t="shared" si="35"/>
        <v>0.4653449191449089</v>
      </c>
      <c r="F226" s="5">
        <v>567.21</v>
      </c>
      <c r="G226" s="43">
        <f t="shared" si="12"/>
        <v>13.889999999999986</v>
      </c>
      <c r="H226" s="42">
        <f t="shared" si="13"/>
        <v>0.025103014530470587</v>
      </c>
      <c r="I226" s="34">
        <f t="shared" si="36"/>
        <v>0.647525270128965</v>
      </c>
    </row>
    <row r="227" spans="1:9" ht="11.25">
      <c r="A227" s="30" t="s">
        <v>287</v>
      </c>
      <c r="B227" s="31">
        <v>15.11903314482898</v>
      </c>
      <c r="C227" s="41">
        <f t="shared" si="14"/>
        <v>0.27830313863620937</v>
      </c>
      <c r="D227" s="42">
        <f t="shared" si="18"/>
        <v>0.018752658293768463</v>
      </c>
      <c r="E227" s="34">
        <f t="shared" si="35"/>
        <v>0.49282403169614314</v>
      </c>
      <c r="F227" s="5">
        <v>562.19</v>
      </c>
      <c r="G227" s="43">
        <f t="shared" si="12"/>
        <v>-5.019999999999982</v>
      </c>
      <c r="H227" s="42">
        <f t="shared" si="13"/>
        <v>-0.008850337617460872</v>
      </c>
      <c r="I227" s="34">
        <f t="shared" si="36"/>
        <v>0.6329441152550253</v>
      </c>
    </row>
    <row r="228" spans="1:9" ht="11.25">
      <c r="A228" s="30" t="s">
        <v>288</v>
      </c>
      <c r="B228" s="31">
        <v>15.364835817864142</v>
      </c>
      <c r="C228" s="41">
        <f t="shared" si="14"/>
        <v>0.24580267303516123</v>
      </c>
      <c r="D228" s="42">
        <f t="shared" si="18"/>
        <v>0.01625783015888359</v>
      </c>
      <c r="E228" s="34">
        <f t="shared" si="35"/>
        <v>0.5170941112605588</v>
      </c>
      <c r="F228" s="5">
        <v>566.13</v>
      </c>
      <c r="G228" s="43">
        <f t="shared" si="12"/>
        <v>3.939999999999941</v>
      </c>
      <c r="H228" s="42">
        <f t="shared" si="13"/>
        <v>0.007008306800192</v>
      </c>
      <c r="I228" s="34">
        <f t="shared" si="36"/>
        <v>0.6443882886023006</v>
      </c>
    </row>
    <row r="229" spans="1:9" ht="11.25">
      <c r="A229" s="30" t="s">
        <v>289</v>
      </c>
      <c r="B229" s="31">
        <v>15.995696912213159</v>
      </c>
      <c r="C229" s="41">
        <f t="shared" si="14"/>
        <v>0.6308610943490169</v>
      </c>
      <c r="D229" s="42">
        <f t="shared" si="18"/>
        <v>0.041058759223156646</v>
      </c>
      <c r="E229" s="34">
        <f t="shared" si="35"/>
        <v>0.579384113093675</v>
      </c>
      <c r="F229" s="5">
        <v>575.55</v>
      </c>
      <c r="G229" s="43">
        <f t="shared" si="12"/>
        <v>9.419999999999959</v>
      </c>
      <c r="H229" s="42">
        <f t="shared" si="13"/>
        <v>0.016639287796089166</v>
      </c>
      <c r="I229" s="34">
        <f t="shared" si="36"/>
        <v>0.6717497385848727</v>
      </c>
    </row>
    <row r="230" spans="1:9" ht="11.25">
      <c r="A230" s="30" t="s">
        <v>290</v>
      </c>
      <c r="B230" s="31">
        <v>15.99990078445449</v>
      </c>
      <c r="C230" s="41">
        <f t="shared" si="14"/>
        <v>0.004203872241330231</v>
      </c>
      <c r="D230" s="42">
        <f t="shared" si="18"/>
        <v>0.0002628126967147307</v>
      </c>
      <c r="E230" s="34">
        <f aca="true" t="shared" si="37" ref="E230:E235">(B230-$B$3)/$B$3</f>
        <v>0.5797991952915855</v>
      </c>
      <c r="F230" s="5">
        <v>576.68</v>
      </c>
      <c r="G230" s="43">
        <f t="shared" si="12"/>
        <v>1.1299999999999955</v>
      </c>
      <c r="H230" s="42">
        <f t="shared" si="13"/>
        <v>0.001963339414473105</v>
      </c>
      <c r="I230" s="34">
        <f aca="true" t="shared" si="38" ref="I230:I235">(F230-$F$3)/$F$3</f>
        <v>0.6750319507377716</v>
      </c>
    </row>
    <row r="231" spans="1:9" ht="11.25">
      <c r="A231" s="30" t="s">
        <v>291</v>
      </c>
      <c r="B231" s="31">
        <v>16.24542678664454</v>
      </c>
      <c r="C231" s="41">
        <f t="shared" si="14"/>
        <v>0.24552600219005072</v>
      </c>
      <c r="D231" s="42">
        <f t="shared" si="18"/>
        <v>0.015345470293703565</v>
      </c>
      <c r="E231" s="34">
        <f t="shared" si="37"/>
        <v>0.6040419569129494</v>
      </c>
      <c r="F231" s="5">
        <v>580.87</v>
      </c>
      <c r="G231" s="43">
        <f t="shared" si="12"/>
        <v>4.190000000000055</v>
      </c>
      <c r="H231" s="42">
        <f t="shared" si="13"/>
        <v>0.007265727960047262</v>
      </c>
      <c r="I231" s="34">
        <f t="shared" si="38"/>
        <v>0.6872022772162195</v>
      </c>
    </row>
    <row r="232" spans="1:9" ht="11.25">
      <c r="A232" s="30" t="s">
        <v>292</v>
      </c>
      <c r="B232" s="31">
        <v>16.431516796570026</v>
      </c>
      <c r="C232" s="41">
        <f t="shared" si="14"/>
        <v>0.1860900099254863</v>
      </c>
      <c r="D232" s="42">
        <f t="shared" si="18"/>
        <v>0.011454916658666794</v>
      </c>
      <c r="E232" s="34">
        <f t="shared" si="37"/>
        <v>0.622416123846392</v>
      </c>
      <c r="F232" s="5">
        <v>580.93</v>
      </c>
      <c r="G232" s="43">
        <f t="shared" si="12"/>
        <v>0.05999999999994543</v>
      </c>
      <c r="H232" s="42">
        <f t="shared" si="13"/>
        <v>0.0001032933358581876</v>
      </c>
      <c r="I232" s="34">
        <f t="shared" si="38"/>
        <v>0.6873765539677007</v>
      </c>
    </row>
    <row r="233" spans="1:9" ht="11.25">
      <c r="A233" s="30" t="s">
        <v>293</v>
      </c>
      <c r="B233" s="31">
        <v>16.4928232667561</v>
      </c>
      <c r="C233" s="41">
        <f t="shared" si="14"/>
        <v>0.061306470186075046</v>
      </c>
      <c r="D233" s="42">
        <f t="shared" si="18"/>
        <v>0.003731029274112563</v>
      </c>
      <c r="E233" s="34">
        <f t="shared" si="37"/>
        <v>0.6284694058992552</v>
      </c>
      <c r="F233" s="5">
        <v>578.98</v>
      </c>
      <c r="G233" s="43">
        <f t="shared" si="12"/>
        <v>-1.9499999999999318</v>
      </c>
      <c r="H233" s="42">
        <f t="shared" si="13"/>
        <v>-0.0033566866920281824</v>
      </c>
      <c r="I233" s="34">
        <f t="shared" si="38"/>
        <v>0.6817125595445569</v>
      </c>
    </row>
    <row r="234" spans="1:9" ht="11.25">
      <c r="A234" s="30" t="s">
        <v>294</v>
      </c>
      <c r="B234" s="31">
        <v>16.23583898019147</v>
      </c>
      <c r="C234" s="41">
        <f t="shared" si="14"/>
        <v>-0.2569842865646308</v>
      </c>
      <c r="D234" s="42">
        <f t="shared" si="18"/>
        <v>-0.015581582510656217</v>
      </c>
      <c r="E234" s="34">
        <f t="shared" si="37"/>
        <v>0.6030952754851565</v>
      </c>
      <c r="F234" s="5">
        <v>569.75</v>
      </c>
      <c r="G234" s="43">
        <f t="shared" si="12"/>
        <v>-9.230000000000018</v>
      </c>
      <c r="H234" s="42">
        <f t="shared" si="13"/>
        <v>-0.015941828733289608</v>
      </c>
      <c r="I234" s="34">
        <f t="shared" si="38"/>
        <v>0.6549029859416755</v>
      </c>
    </row>
    <row r="235" spans="1:9" ht="11.25">
      <c r="A235" s="30" t="s">
        <v>295</v>
      </c>
      <c r="B235" s="31">
        <v>16.241916903645716</v>
      </c>
      <c r="C235" s="41">
        <f t="shared" si="14"/>
        <v>0.006077923454245848</v>
      </c>
      <c r="D235" s="42">
        <f t="shared" si="18"/>
        <v>0.0003743522870398762</v>
      </c>
      <c r="E235" s="34">
        <f t="shared" si="37"/>
        <v>0.6036953978678773</v>
      </c>
      <c r="F235" s="5">
        <v>567.02</v>
      </c>
      <c r="G235" s="43">
        <f t="shared" si="12"/>
        <v>-2.730000000000018</v>
      </c>
      <c r="H235" s="42">
        <f t="shared" si="13"/>
        <v>-0.004791575252303674</v>
      </c>
      <c r="I235" s="34">
        <f t="shared" si="38"/>
        <v>0.6469733937492739</v>
      </c>
    </row>
    <row r="236" spans="1:9" ht="11.25">
      <c r="A236" s="30" t="s">
        <v>296</v>
      </c>
      <c r="B236" s="31">
        <v>16.135889990879058</v>
      </c>
      <c r="C236" s="41">
        <f t="shared" si="14"/>
        <v>-0.10602691276665865</v>
      </c>
      <c r="D236" s="42">
        <f t="shared" si="18"/>
        <v>-0.006527980249847202</v>
      </c>
      <c r="E236" s="34">
        <f aca="true" t="shared" si="39" ref="E236:E241">(B236-$B$3)/$B$3</f>
        <v>0.5932265059838249</v>
      </c>
      <c r="F236" s="5">
        <v>558.34</v>
      </c>
      <c r="G236" s="43">
        <f t="shared" si="12"/>
        <v>-8.67999999999995</v>
      </c>
      <c r="H236" s="42">
        <f t="shared" si="13"/>
        <v>-0.015308102006983793</v>
      </c>
      <c r="I236" s="34">
        <f aca="true" t="shared" si="40" ref="I236:I241">(F236-$F$3)/$F$3</f>
        <v>0.6217613570349717</v>
      </c>
    </row>
    <row r="237" spans="1:9" ht="11.25">
      <c r="A237" s="30" t="s">
        <v>297</v>
      </c>
      <c r="B237" s="31">
        <v>15.794325371270942</v>
      </c>
      <c r="C237" s="41">
        <f t="shared" si="14"/>
        <v>-0.3415646196081159</v>
      </c>
      <c r="D237" s="42">
        <f t="shared" si="18"/>
        <v>-0.021168006214791254</v>
      </c>
      <c r="E237" s="34">
        <f t="shared" si="39"/>
        <v>0.5595010774035891</v>
      </c>
      <c r="F237" s="5">
        <v>544.36</v>
      </c>
      <c r="G237" s="43">
        <f t="shared" si="12"/>
        <v>-13.980000000000018</v>
      </c>
      <c r="H237" s="42">
        <f t="shared" si="13"/>
        <v>-0.02503850700290149</v>
      </c>
      <c r="I237" s="34">
        <f t="shared" si="40"/>
        <v>0.5811548739398166</v>
      </c>
    </row>
    <row r="238" spans="1:9" ht="11.25">
      <c r="A238" s="30" t="s">
        <v>298</v>
      </c>
      <c r="B238" s="31">
        <v>15.775868970840754</v>
      </c>
      <c r="C238" s="41">
        <f t="shared" si="14"/>
        <v>-0.01845640043018726</v>
      </c>
      <c r="D238" s="42">
        <f t="shared" si="18"/>
        <v>-0.001168546297251701</v>
      </c>
      <c r="E238" s="34">
        <f t="shared" si="39"/>
        <v>0.5576787281940291</v>
      </c>
      <c r="F238" s="5">
        <v>544.39</v>
      </c>
      <c r="G238" s="43">
        <f t="shared" si="12"/>
        <v>0.029999999999972715</v>
      </c>
      <c r="H238" s="42">
        <f t="shared" si="13"/>
        <v>5.511058858103592E-05</v>
      </c>
      <c r="I238" s="34">
        <f t="shared" si="40"/>
        <v>0.5812420123155572</v>
      </c>
    </row>
    <row r="239" spans="1:9" ht="11.25">
      <c r="A239" s="30" t="s">
        <v>299</v>
      </c>
      <c r="B239" s="31">
        <v>16.25561140282681</v>
      </c>
      <c r="C239" s="41">
        <f t="shared" si="14"/>
        <v>0.47974243198605393</v>
      </c>
      <c r="D239" s="42">
        <f t="shared" si="18"/>
        <v>0.030409889488356132</v>
      </c>
      <c r="E239" s="34">
        <f t="shared" si="39"/>
        <v>0.6050475661767727</v>
      </c>
      <c r="F239" s="5">
        <v>560.74</v>
      </c>
      <c r="G239" s="43">
        <f t="shared" si="12"/>
        <v>16.350000000000023</v>
      </c>
      <c r="H239" s="42">
        <f t="shared" si="13"/>
        <v>0.030033615606458647</v>
      </c>
      <c r="I239" s="34">
        <f t="shared" si="40"/>
        <v>0.6287324270942258</v>
      </c>
    </row>
    <row r="240" spans="1:9" ht="11.25">
      <c r="A240" s="30" t="s">
        <v>300</v>
      </c>
      <c r="B240" s="31">
        <v>16.67599862695987</v>
      </c>
      <c r="C240" s="41">
        <f t="shared" si="14"/>
        <v>0.4203872241330622</v>
      </c>
      <c r="D240" s="42">
        <f t="shared" si="18"/>
        <v>0.025861052759907754</v>
      </c>
      <c r="E240" s="34">
        <f t="shared" si="39"/>
        <v>0.6465557859678317</v>
      </c>
      <c r="F240" s="5">
        <v>573.63</v>
      </c>
      <c r="G240" s="43">
        <f t="shared" si="12"/>
        <v>12.889999999999986</v>
      </c>
      <c r="H240" s="42">
        <f t="shared" si="13"/>
        <v>0.022987480828904637</v>
      </c>
      <c r="I240" s="34">
        <f t="shared" si="40"/>
        <v>0.6661728825374696</v>
      </c>
    </row>
    <row r="241" spans="1:9" ht="11.25">
      <c r="A241" s="30" t="s">
        <v>301</v>
      </c>
      <c r="B241" s="31">
        <v>16.78294037239078</v>
      </c>
      <c r="C241" s="41">
        <f t="shared" si="14"/>
        <v>0.10694174543090895</v>
      </c>
      <c r="D241" s="42">
        <f t="shared" si="18"/>
        <v>0.00641291402231334</v>
      </c>
      <c r="E241" s="34">
        <f t="shared" si="39"/>
        <v>0.6571150066561859</v>
      </c>
      <c r="F241" s="5">
        <v>582.15</v>
      </c>
      <c r="G241" s="43">
        <f t="shared" si="12"/>
        <v>8.519999999999982</v>
      </c>
      <c r="H241" s="42">
        <f t="shared" si="13"/>
        <v>0.01485277966633541</v>
      </c>
      <c r="I241" s="34">
        <f t="shared" si="40"/>
        <v>0.6909201812478216</v>
      </c>
    </row>
    <row r="242" spans="1:9" ht="11.25">
      <c r="A242" s="30" t="s">
        <v>302</v>
      </c>
      <c r="B242" s="31">
        <v>16.934458052293987</v>
      </c>
      <c r="C242" s="41">
        <f t="shared" si="14"/>
        <v>0.15151767990320764</v>
      </c>
      <c r="D242" s="42">
        <f t="shared" si="18"/>
        <v>0.00902807711528701</v>
      </c>
      <c r="E242" s="34">
        <f aca="true" t="shared" si="41" ref="E242:E247">(B242-$B$3)/$B$3</f>
        <v>0.6720755687251774</v>
      </c>
      <c r="F242" s="5">
        <v>578.59</v>
      </c>
      <c r="G242" s="43">
        <f t="shared" si="12"/>
        <v>-3.5599999999999454</v>
      </c>
      <c r="H242" s="42">
        <f t="shared" si="13"/>
        <v>-0.006115262389418441</v>
      </c>
      <c r="I242" s="34">
        <f aca="true" t="shared" si="42" ref="I242:I247">(F242-$F$3)/$F$3</f>
        <v>0.6805797606599282</v>
      </c>
    </row>
    <row r="243" spans="1:9" ht="11.25">
      <c r="A243" s="30" t="s">
        <v>303</v>
      </c>
      <c r="B243" s="31">
        <v>16.899535084294506</v>
      </c>
      <c r="C243" s="41">
        <f t="shared" si="14"/>
        <v>-0.03492296799948136</v>
      </c>
      <c r="D243" s="42">
        <f t="shared" si="18"/>
        <v>-0.0020622430249399447</v>
      </c>
      <c r="E243" s="34">
        <f t="shared" si="41"/>
        <v>0.6686273425464014</v>
      </c>
      <c r="F243" s="5">
        <v>568.47</v>
      </c>
      <c r="G243" s="43">
        <f t="shared" si="12"/>
        <v>-10.120000000000005</v>
      </c>
      <c r="H243" s="42">
        <f t="shared" si="13"/>
        <v>-0.017490796591714347</v>
      </c>
      <c r="I243" s="34">
        <f t="shared" si="42"/>
        <v>0.6511850819100734</v>
      </c>
    </row>
    <row r="244" spans="1:9" ht="11.25">
      <c r="A244" s="30" t="s">
        <v>304</v>
      </c>
      <c r="B244" s="31">
        <v>17.122906294417778</v>
      </c>
      <c r="C244" s="41">
        <f t="shared" si="14"/>
        <v>0.22337121012327188</v>
      </c>
      <c r="D244" s="42">
        <f t="shared" si="18"/>
        <v>0.013217594981702233</v>
      </c>
      <c r="E244" s="34">
        <f t="shared" si="41"/>
        <v>0.6906825829355738</v>
      </c>
      <c r="F244" s="5">
        <v>576.1</v>
      </c>
      <c r="G244" s="43">
        <f t="shared" si="12"/>
        <v>7.6299999999999955</v>
      </c>
      <c r="H244" s="42">
        <f t="shared" si="13"/>
        <v>0.013421992365472224</v>
      </c>
      <c r="I244" s="34">
        <f t="shared" si="42"/>
        <v>0.6733472754734521</v>
      </c>
    </row>
    <row r="245" spans="1:9" ht="11.25">
      <c r="A245" s="30" t="s">
        <v>305</v>
      </c>
      <c r="B245" s="31">
        <v>17.238150631473687</v>
      </c>
      <c r="C245" s="41">
        <f t="shared" si="14"/>
        <v>0.11524433705590909</v>
      </c>
      <c r="D245" s="42">
        <f t="shared" si="18"/>
        <v>0.006730419186693779</v>
      </c>
      <c r="E245" s="34">
        <f t="shared" si="41"/>
        <v>0.7020615854303724</v>
      </c>
      <c r="F245" s="5">
        <v>583.61</v>
      </c>
      <c r="G245" s="43">
        <f t="shared" si="12"/>
        <v>7.509999999999991</v>
      </c>
      <c r="H245" s="42">
        <f t="shared" si="13"/>
        <v>0.013035931261933675</v>
      </c>
      <c r="I245" s="34">
        <f t="shared" si="42"/>
        <v>0.6951609155338679</v>
      </c>
    </row>
    <row r="246" spans="1:9" ht="11.25">
      <c r="A246" s="30" t="s">
        <v>306</v>
      </c>
      <c r="B246" s="31">
        <v>17.17334093441984</v>
      </c>
      <c r="C246" s="41">
        <f t="shared" si="14"/>
        <v>-0.0648096970538461</v>
      </c>
      <c r="D246" s="42">
        <f t="shared" si="18"/>
        <v>-0.0037596664769546408</v>
      </c>
      <c r="E246" s="34">
        <f t="shared" si="41"/>
        <v>0.6956624015459176</v>
      </c>
      <c r="F246" s="5">
        <v>588.6</v>
      </c>
      <c r="G246" s="43">
        <f t="shared" si="12"/>
        <v>4.990000000000009</v>
      </c>
      <c r="H246" s="42">
        <f t="shared" si="13"/>
        <v>0.008550230462123694</v>
      </c>
      <c r="I246" s="34">
        <f t="shared" si="42"/>
        <v>0.7096549320320671</v>
      </c>
    </row>
    <row r="247" spans="1:9" ht="11.25">
      <c r="A247" s="30" t="s">
        <v>307</v>
      </c>
      <c r="B247" s="31">
        <v>17.022211727344004</v>
      </c>
      <c r="C247" s="41">
        <f t="shared" si="14"/>
        <v>-0.15112920707583655</v>
      </c>
      <c r="D247" s="42">
        <f t="shared" si="18"/>
        <v>-0.008800221672239344</v>
      </c>
      <c r="E247" s="34">
        <f t="shared" si="41"/>
        <v>0.6807401965310318</v>
      </c>
      <c r="F247" s="5">
        <v>592.78</v>
      </c>
      <c r="G247" s="43">
        <f t="shared" si="12"/>
        <v>4.17999999999995</v>
      </c>
      <c r="H247" s="42">
        <f t="shared" si="13"/>
        <v>0.0071015970098538056</v>
      </c>
      <c r="I247" s="34">
        <f t="shared" si="42"/>
        <v>0.7217962123852678</v>
      </c>
    </row>
    <row r="248" spans="1:9" ht="11.25">
      <c r="A248" s="30" t="s">
        <v>22</v>
      </c>
      <c r="B248" s="31">
        <v>17.084907776989766</v>
      </c>
      <c r="C248" s="41">
        <f t="shared" si="14"/>
        <v>0.06269604964576203</v>
      </c>
      <c r="D248" s="42">
        <f t="shared" si="18"/>
        <v>0.003683190565950302</v>
      </c>
      <c r="E248" s="34">
        <f aca="true" t="shared" si="43" ref="E248:E253">(B248-$B$3)/$B$3</f>
        <v>0.6869306829667083</v>
      </c>
      <c r="F248" s="5">
        <v>593.02</v>
      </c>
      <c r="G248" s="43">
        <f t="shared" si="12"/>
        <v>0.2400000000000091</v>
      </c>
      <c r="H248" s="42">
        <f t="shared" si="13"/>
        <v>0.0004048719592429048</v>
      </c>
      <c r="I248" s="34">
        <f aca="true" t="shared" si="44" ref="I248:I253">(F248-$F$3)/$F$3</f>
        <v>0.7224933193911933</v>
      </c>
    </row>
    <row r="249" spans="1:9" ht="11.25">
      <c r="A249" s="30" t="s">
        <v>20</v>
      </c>
      <c r="B249" s="31">
        <v>17.33682552169688</v>
      </c>
      <c r="C249" s="41">
        <f t="shared" si="14"/>
        <v>0.25191774470711437</v>
      </c>
      <c r="D249" s="42">
        <f t="shared" si="18"/>
        <v>0.01474504562713539</v>
      </c>
      <c r="E249" s="34">
        <f t="shared" si="43"/>
        <v>0.7118045528568672</v>
      </c>
      <c r="F249" s="5">
        <v>604.77</v>
      </c>
      <c r="G249" s="43">
        <f t="shared" si="12"/>
        <v>11.75</v>
      </c>
      <c r="H249" s="42">
        <f t="shared" si="13"/>
        <v>0.0198138342720313</v>
      </c>
      <c r="I249" s="34">
        <f t="shared" si="44"/>
        <v>0.7566225165562914</v>
      </c>
    </row>
    <row r="250" spans="1:9" ht="11.25">
      <c r="A250" s="30" t="s">
        <v>27</v>
      </c>
      <c r="B250" s="31">
        <v>17.65936972134909</v>
      </c>
      <c r="C250" s="41">
        <f t="shared" si="14"/>
        <v>0.32254419965221004</v>
      </c>
      <c r="D250" s="42">
        <f t="shared" si="18"/>
        <v>0.018604570903049632</v>
      </c>
      <c r="E250" s="34">
        <f t="shared" si="43"/>
        <v>0.7436519420326558</v>
      </c>
      <c r="F250" s="5">
        <v>609.25</v>
      </c>
      <c r="G250" s="43">
        <f t="shared" si="12"/>
        <v>4.480000000000018</v>
      </c>
      <c r="H250" s="42">
        <f t="shared" si="13"/>
        <v>0.007407774856557068</v>
      </c>
      <c r="I250" s="34">
        <f t="shared" si="44"/>
        <v>0.7696351806668992</v>
      </c>
    </row>
    <row r="251" spans="1:9" ht="11.25">
      <c r="A251" s="30" t="s">
        <v>308</v>
      </c>
      <c r="B251" s="31">
        <v>17.888831781833762</v>
      </c>
      <c r="C251" s="41">
        <f t="shared" si="14"/>
        <v>0.22946206048467133</v>
      </c>
      <c r="D251" s="42">
        <f t="shared" si="18"/>
        <v>0.012993785401483826</v>
      </c>
      <c r="E251" s="34">
        <f t="shared" si="43"/>
        <v>0.7663085811823087</v>
      </c>
      <c r="F251" s="5">
        <v>615.68</v>
      </c>
      <c r="G251" s="43">
        <f t="shared" si="12"/>
        <v>6.42999999999995</v>
      </c>
      <c r="H251" s="42">
        <f t="shared" si="13"/>
        <v>0.010553959786622815</v>
      </c>
      <c r="I251" s="34">
        <f t="shared" si="44"/>
        <v>0.7883118392006506</v>
      </c>
    </row>
    <row r="252" spans="1:9" ht="11.25">
      <c r="A252" s="30" t="s">
        <v>29</v>
      </c>
      <c r="B252" s="31">
        <v>18.012520913499685</v>
      </c>
      <c r="C252" s="41">
        <f t="shared" si="14"/>
        <v>0.12368913166592321</v>
      </c>
      <c r="D252" s="42">
        <f t="shared" si="18"/>
        <v>0.0069143213583980605</v>
      </c>
      <c r="E252" s="34">
        <f t="shared" si="43"/>
        <v>0.7785214063306993</v>
      </c>
      <c r="F252" s="5">
        <v>615.39</v>
      </c>
      <c r="G252" s="43">
        <f t="shared" si="12"/>
        <v>-0.2899999999999636</v>
      </c>
      <c r="H252" s="42">
        <f t="shared" si="13"/>
        <v>-0.00047102390852384946</v>
      </c>
      <c r="I252" s="34">
        <f t="shared" si="44"/>
        <v>0.7874695015684908</v>
      </c>
    </row>
    <row r="253" spans="1:9" ht="11.25">
      <c r="A253" s="30" t="s">
        <v>30</v>
      </c>
      <c r="B253" s="31">
        <v>18.65374740805348</v>
      </c>
      <c r="C253" s="41">
        <f t="shared" si="14"/>
        <v>0.6412264945537949</v>
      </c>
      <c r="D253" s="42">
        <f t="shared" si="18"/>
        <v>0.035598931300794244</v>
      </c>
      <c r="E253" s="34">
        <f t="shared" si="43"/>
        <v>0.8418348676916578</v>
      </c>
      <c r="F253" s="5">
        <v>624.06</v>
      </c>
      <c r="G253" s="43">
        <f t="shared" si="12"/>
        <v>8.669999999999959</v>
      </c>
      <c r="H253" s="42">
        <f t="shared" si="13"/>
        <v>0.014088626724516095</v>
      </c>
      <c r="I253" s="34">
        <f t="shared" si="44"/>
        <v>0.8126524921575462</v>
      </c>
    </row>
    <row r="254" spans="1:9" ht="11.25">
      <c r="A254" s="30" t="s">
        <v>31</v>
      </c>
      <c r="B254" s="31">
        <v>18.63485739571773</v>
      </c>
      <c r="C254" s="41">
        <f t="shared" si="14"/>
        <v>-0.018890012335749162</v>
      </c>
      <c r="D254" s="42">
        <f t="shared" si="18"/>
        <v>-0.0010126658157488333</v>
      </c>
      <c r="E254" s="34">
        <f aca="true" t="shared" si="45" ref="E254:E259">(B254-$B$3)/$B$3</f>
        <v>0.8399697044828922</v>
      </c>
      <c r="F254" s="5">
        <v>624.37</v>
      </c>
      <c r="G254" s="43">
        <f t="shared" si="12"/>
        <v>0.3100000000000591</v>
      </c>
      <c r="H254" s="42">
        <f t="shared" si="13"/>
        <v>0.0004967471076500002</v>
      </c>
      <c r="I254" s="34">
        <f aca="true" t="shared" si="46" ref="I254:I259">(F254-$F$3)/$F$3</f>
        <v>0.8135529220402</v>
      </c>
    </row>
    <row r="255" spans="1:9" ht="11.25">
      <c r="A255" s="30" t="s">
        <v>32</v>
      </c>
      <c r="B255" s="31">
        <v>18.76102961458754</v>
      </c>
      <c r="C255" s="41">
        <f t="shared" si="14"/>
        <v>0.126172218869808</v>
      </c>
      <c r="D255" s="42">
        <f t="shared" si="18"/>
        <v>0.006770763853486866</v>
      </c>
      <c r="E255" s="34">
        <f t="shared" si="45"/>
        <v>0.8524277048495159</v>
      </c>
      <c r="F255" s="5">
        <v>639.45</v>
      </c>
      <c r="G255" s="43">
        <f t="shared" si="12"/>
        <v>15.080000000000041</v>
      </c>
      <c r="H255" s="42">
        <f t="shared" si="13"/>
        <v>0.02415234556432891</v>
      </c>
      <c r="I255" s="34">
        <f t="shared" si="46"/>
        <v>0.8573544789125134</v>
      </c>
    </row>
    <row r="256" spans="1:9" ht="11.25">
      <c r="A256" s="30" t="s">
        <v>309</v>
      </c>
      <c r="B256" s="31">
        <v>18.72634766859656</v>
      </c>
      <c r="C256" s="41">
        <f t="shared" si="14"/>
        <v>-0.034681945990978846</v>
      </c>
      <c r="D256" s="42">
        <f t="shared" si="18"/>
        <v>-0.0018486163448093534</v>
      </c>
      <c r="E256" s="34">
        <f t="shared" si="45"/>
        <v>0.8490032767167535</v>
      </c>
      <c r="F256" s="5">
        <v>659.96</v>
      </c>
      <c r="G256" s="43">
        <f t="shared" si="12"/>
        <v>20.50999999999999</v>
      </c>
      <c r="H256" s="42">
        <f t="shared" si="13"/>
        <v>0.03207443897099068</v>
      </c>
      <c r="I256" s="34">
        <f t="shared" si="46"/>
        <v>0.916928081793889</v>
      </c>
    </row>
    <row r="257" spans="1:9" ht="11.25">
      <c r="A257" s="30" t="s">
        <v>34</v>
      </c>
      <c r="B257" s="31">
        <v>18.697831401892866</v>
      </c>
      <c r="C257" s="41">
        <f t="shared" si="14"/>
        <v>-0.02851626670369356</v>
      </c>
      <c r="D257" s="42">
        <f t="shared" si="18"/>
        <v>-0.0015227884907591648</v>
      </c>
      <c r="E257" s="34">
        <f t="shared" si="45"/>
        <v>0.8461876358075932</v>
      </c>
      <c r="F257" s="5">
        <v>665.06</v>
      </c>
      <c r="G257" s="43">
        <f t="shared" si="12"/>
        <v>5.099999999999909</v>
      </c>
      <c r="H257" s="42">
        <f t="shared" si="13"/>
        <v>0.007727741075216542</v>
      </c>
      <c r="I257" s="34">
        <f t="shared" si="46"/>
        <v>0.9317416056698037</v>
      </c>
    </row>
    <row r="258" spans="1:9" ht="11.25">
      <c r="A258" s="30" t="s">
        <v>35</v>
      </c>
      <c r="B258" s="31">
        <v>18.769856345003586</v>
      </c>
      <c r="C258" s="41">
        <f t="shared" si="14"/>
        <v>0.07202494311071916</v>
      </c>
      <c r="D258" s="42">
        <f t="shared" si="18"/>
        <v>0.003852047949444434</v>
      </c>
      <c r="E258" s="34">
        <f t="shared" si="45"/>
        <v>0.8532992391043955</v>
      </c>
      <c r="F258" s="5">
        <v>673.7</v>
      </c>
      <c r="G258" s="43">
        <f t="shared" si="12"/>
        <v>8.6400000000001</v>
      </c>
      <c r="H258" s="42">
        <f t="shared" si="13"/>
        <v>0.012991309054822273</v>
      </c>
      <c r="I258" s="34">
        <f t="shared" si="46"/>
        <v>0.9568374578831187</v>
      </c>
    </row>
    <row r="259" spans="1:9" ht="11.25">
      <c r="A259" s="30" t="s">
        <v>36</v>
      </c>
      <c r="B259" s="31">
        <v>18.69690795129052</v>
      </c>
      <c r="C259" s="41">
        <f t="shared" si="14"/>
        <v>-0.07294839371306594</v>
      </c>
      <c r="D259" s="42">
        <f t="shared" si="18"/>
        <v>-0.0038864652116788485</v>
      </c>
      <c r="E259" s="34">
        <f t="shared" si="45"/>
        <v>0.8460964560847853</v>
      </c>
      <c r="F259" s="5">
        <v>667.54</v>
      </c>
      <c r="G259" s="43">
        <f t="shared" si="12"/>
        <v>-6.160000000000082</v>
      </c>
      <c r="H259" s="42">
        <f t="shared" si="13"/>
        <v>-0.00914353569838219</v>
      </c>
      <c r="I259" s="34">
        <f t="shared" si="46"/>
        <v>0.9389450447310329</v>
      </c>
    </row>
    <row r="260" spans="1:9" ht="11.25">
      <c r="A260" s="30" t="s">
        <v>37</v>
      </c>
      <c r="B260" s="31">
        <v>18.783872755701555</v>
      </c>
      <c r="C260" s="41">
        <f t="shared" si="14"/>
        <v>0.0869648044110356</v>
      </c>
      <c r="D260" s="42">
        <f t="shared" si="18"/>
        <v>0.004651293392340471</v>
      </c>
      <c r="E260" s="34">
        <f aca="true" t="shared" si="47" ref="E260:E265">(B260-$B$3)/$B$3</f>
        <v>0.8546831923325957</v>
      </c>
      <c r="F260" s="5">
        <v>671</v>
      </c>
      <c r="G260" s="43">
        <f t="shared" si="12"/>
        <v>3.4600000000000364</v>
      </c>
      <c r="H260" s="42">
        <f t="shared" si="13"/>
        <v>0.005183209994906727</v>
      </c>
      <c r="I260" s="34">
        <f aca="true" t="shared" si="48" ref="I260:I265">(F260-$F$3)/$F$3</f>
        <v>0.9489950040664576</v>
      </c>
    </row>
    <row r="261" spans="1:9" ht="11.25">
      <c r="A261" s="30" t="s">
        <v>311</v>
      </c>
      <c r="B261" s="31">
        <v>19.12447641131651</v>
      </c>
      <c r="C261" s="41">
        <f t="shared" si="14"/>
        <v>0.34060365561495587</v>
      </c>
      <c r="D261" s="42">
        <f t="shared" si="18"/>
        <v>0.018132770597669795</v>
      </c>
      <c r="E261" s="34">
        <f t="shared" si="47"/>
        <v>0.8883137371905165</v>
      </c>
      <c r="F261" s="5">
        <v>664.36</v>
      </c>
      <c r="G261" s="43">
        <f t="shared" si="12"/>
        <v>-6.639999999999986</v>
      </c>
      <c r="H261" s="42">
        <f t="shared" si="13"/>
        <v>-0.009895678092399383</v>
      </c>
      <c r="I261" s="34">
        <f t="shared" si="48"/>
        <v>0.9297083769025214</v>
      </c>
    </row>
    <row r="262" spans="1:9" ht="11.25">
      <c r="A262" s="30" t="s">
        <v>39</v>
      </c>
      <c r="B262" s="31">
        <v>18.848547769225963</v>
      </c>
      <c r="C262" s="41">
        <f t="shared" si="14"/>
        <v>-0.27592864209054824</v>
      </c>
      <c r="D262" s="42">
        <f t="shared" si="18"/>
        <v>-0.014428036415536753</v>
      </c>
      <c r="E262" s="34">
        <f t="shared" si="47"/>
        <v>0.8610690778263734</v>
      </c>
      <c r="F262" s="5">
        <v>647.55</v>
      </c>
      <c r="G262" s="43">
        <f t="shared" si="12"/>
        <v>-16.81000000000006</v>
      </c>
      <c r="H262" s="42">
        <f t="shared" si="13"/>
        <v>-0.025302546811969504</v>
      </c>
      <c r="I262" s="34">
        <f t="shared" si="48"/>
        <v>0.8808818403624956</v>
      </c>
    </row>
    <row r="263" spans="1:9" ht="11.25">
      <c r="A263" s="30" t="s">
        <v>40</v>
      </c>
      <c r="B263" s="31">
        <v>19.090070091743925</v>
      </c>
      <c r="C263" s="41">
        <f t="shared" si="14"/>
        <v>0.24152232251796235</v>
      </c>
      <c r="D263" s="42">
        <f t="shared" si="18"/>
        <v>0.01281384250261954</v>
      </c>
      <c r="E263" s="34">
        <f t="shared" si="47"/>
        <v>0.8849165238761361</v>
      </c>
      <c r="F263" s="5">
        <v>653.49</v>
      </c>
      <c r="G263" s="43">
        <f t="shared" si="12"/>
        <v>5.940000000000055</v>
      </c>
      <c r="H263" s="42">
        <f t="shared" si="13"/>
        <v>0.009173036831132816</v>
      </c>
      <c r="I263" s="34">
        <f t="shared" si="48"/>
        <v>0.8981352387591497</v>
      </c>
    </row>
    <row r="264" spans="1:9" ht="11.25">
      <c r="A264" s="30" t="s">
        <v>41</v>
      </c>
      <c r="B264" s="31">
        <v>18.657823097970276</v>
      </c>
      <c r="C264" s="41">
        <f t="shared" si="14"/>
        <v>-0.4322469937736493</v>
      </c>
      <c r="D264" s="42">
        <f t="shared" si="18"/>
        <v>-0.022642504280829617</v>
      </c>
      <c r="E264" s="34">
        <f t="shared" si="47"/>
        <v>0.8422372934152641</v>
      </c>
      <c r="F264" s="5">
        <v>658.15</v>
      </c>
      <c r="G264" s="43">
        <f t="shared" si="12"/>
        <v>4.659999999999968</v>
      </c>
      <c r="H264" s="42">
        <f t="shared" si="13"/>
        <v>0.007130943090177306</v>
      </c>
      <c r="I264" s="34">
        <f t="shared" si="48"/>
        <v>0.9116707331242013</v>
      </c>
    </row>
    <row r="265" spans="1:9" ht="11.25">
      <c r="A265" s="30" t="s">
        <v>42</v>
      </c>
      <c r="B265" s="31">
        <v>18.2629237011689</v>
      </c>
      <c r="C265" s="41">
        <f t="shared" si="14"/>
        <v>-0.39489939680137454</v>
      </c>
      <c r="D265" s="42">
        <f t="shared" si="18"/>
        <v>-0.021165352181109185</v>
      </c>
      <c r="E265" s="34">
        <f t="shared" si="47"/>
        <v>0.8032456922989567</v>
      </c>
      <c r="F265" s="5">
        <v>657.38</v>
      </c>
      <c r="G265" s="43">
        <f t="shared" si="12"/>
        <v>-0.7699999999999818</v>
      </c>
      <c r="H265" s="42">
        <f t="shared" si="13"/>
        <v>-0.001169946060928332</v>
      </c>
      <c r="I265" s="34">
        <f t="shared" si="48"/>
        <v>0.9094341814801907</v>
      </c>
    </row>
    <row r="266" spans="1:9" ht="11.25">
      <c r="A266" s="30" t="s">
        <v>312</v>
      </c>
      <c r="B266" s="31">
        <v>17.585360186747078</v>
      </c>
      <c r="C266" s="41">
        <f t="shared" si="14"/>
        <v>-0.6775635144218235</v>
      </c>
      <c r="D266" s="42">
        <f t="shared" si="18"/>
        <v>-0.037100495271655584</v>
      </c>
      <c r="E266" s="34">
        <f aca="true" t="shared" si="49" ref="E266:E272">(B266-$B$3)/$B$3</f>
        <v>0.7363443840181859</v>
      </c>
      <c r="F266" s="5">
        <v>640.84</v>
      </c>
      <c r="G266" s="43">
        <f t="shared" si="12"/>
        <v>-16.539999999999964</v>
      </c>
      <c r="H266" s="42">
        <f t="shared" si="13"/>
        <v>-0.025160485563905145</v>
      </c>
      <c r="I266" s="34">
        <f aca="true" t="shared" si="50" ref="I266:I272">(F266-$F$3)/$F$3</f>
        <v>0.8613918903218313</v>
      </c>
    </row>
    <row r="267" spans="1:9" ht="11.25">
      <c r="A267" s="30" t="s">
        <v>44</v>
      </c>
      <c r="B267" s="31">
        <v>17.83194835752058</v>
      </c>
      <c r="C267" s="41">
        <f t="shared" si="14"/>
        <v>0.24658817077350292</v>
      </c>
      <c r="D267" s="42">
        <f t="shared" si="18"/>
        <v>0.014022355422628198</v>
      </c>
      <c r="E267" s="34">
        <f t="shared" si="49"/>
        <v>0.7606920221069734</v>
      </c>
      <c r="F267" s="5">
        <v>636.75</v>
      </c>
      <c r="G267" s="43">
        <f t="shared" si="12"/>
        <v>-4.090000000000032</v>
      </c>
      <c r="H267" s="42">
        <f t="shared" si="13"/>
        <v>-0.006382248299107471</v>
      </c>
      <c r="I267" s="34">
        <f t="shared" si="50"/>
        <v>0.8495120250958523</v>
      </c>
    </row>
    <row r="268" spans="1:9" ht="11.25">
      <c r="A268" s="30" t="s">
        <v>45</v>
      </c>
      <c r="B268" s="31">
        <v>17.024745356379395</v>
      </c>
      <c r="C268" s="41">
        <f t="shared" si="14"/>
        <v>-0.8072030011411861</v>
      </c>
      <c r="D268" s="42">
        <f t="shared" si="18"/>
        <v>-0.045267235243015395</v>
      </c>
      <c r="E268" s="34">
        <f t="shared" si="49"/>
        <v>0.6809903621517566</v>
      </c>
      <c r="F268" s="5">
        <v>619.03</v>
      </c>
      <c r="G268" s="43">
        <f t="shared" si="12"/>
        <v>-17.720000000000027</v>
      </c>
      <c r="H268" s="42">
        <f t="shared" si="13"/>
        <v>-0.02782881821751084</v>
      </c>
      <c r="I268" s="34">
        <f t="shared" si="50"/>
        <v>0.7980422911583596</v>
      </c>
    </row>
    <row r="269" spans="1:9" ht="11.25">
      <c r="A269" s="30" t="s">
        <v>46</v>
      </c>
      <c r="B269" s="31">
        <v>16.687407316151006</v>
      </c>
      <c r="C269" s="41">
        <f t="shared" si="14"/>
        <v>-0.33733804022838854</v>
      </c>
      <c r="D269" s="42">
        <f t="shared" si="18"/>
        <v>-0.019814571858015106</v>
      </c>
      <c r="E269" s="34">
        <f t="shared" si="49"/>
        <v>0.6476822578282697</v>
      </c>
      <c r="F269" s="5">
        <v>614.23</v>
      </c>
      <c r="G269" s="43">
        <f t="shared" si="12"/>
        <v>-4.7999999999999545</v>
      </c>
      <c r="H269" s="42">
        <f t="shared" si="13"/>
        <v>-0.007754066846517867</v>
      </c>
      <c r="I269" s="34">
        <f t="shared" si="50"/>
        <v>0.7841001510398514</v>
      </c>
    </row>
    <row r="270" spans="1:9" ht="11.25">
      <c r="A270" s="30" t="s">
        <v>47</v>
      </c>
      <c r="B270" s="31">
        <v>16.306112345885406</v>
      </c>
      <c r="C270" s="41">
        <f t="shared" si="14"/>
        <v>-0.3812949702655999</v>
      </c>
      <c r="D270" s="42">
        <f t="shared" si="18"/>
        <v>-0.022849263701771174</v>
      </c>
      <c r="E270" s="34">
        <f t="shared" si="49"/>
        <v>0.6100339314224219</v>
      </c>
      <c r="F270" s="5">
        <v>613.43</v>
      </c>
      <c r="G270" s="43">
        <f t="shared" si="12"/>
        <v>-0.8000000000000682</v>
      </c>
      <c r="H270" s="42">
        <f t="shared" si="13"/>
        <v>-0.001302443710011019</v>
      </c>
      <c r="I270" s="34">
        <f t="shared" si="50"/>
        <v>0.7817764610200999</v>
      </c>
    </row>
    <row r="271" spans="1:9" ht="11.25">
      <c r="A271" s="30" t="s">
        <v>313</v>
      </c>
      <c r="B271" s="31">
        <v>16.558236737455957</v>
      </c>
      <c r="C271" s="41">
        <f t="shared" si="14"/>
        <v>0.25212439157055044</v>
      </c>
      <c r="D271" s="42">
        <f t="shared" si="18"/>
        <v>0.015461955996775044</v>
      </c>
      <c r="E271" s="34">
        <f t="shared" si="49"/>
        <v>0.6349282052233901</v>
      </c>
      <c r="F271" s="5">
        <v>605.29</v>
      </c>
      <c r="G271" s="43">
        <f t="shared" si="12"/>
        <v>-8.139999999999986</v>
      </c>
      <c r="H271" s="42">
        <f t="shared" si="13"/>
        <v>-0.013269647718566074</v>
      </c>
      <c r="I271" s="34">
        <f t="shared" si="50"/>
        <v>0.7581329150691298</v>
      </c>
    </row>
    <row r="272" spans="1:9" ht="11.25">
      <c r="A272" s="30" t="s">
        <v>49</v>
      </c>
      <c r="B272" s="31">
        <v>16.926721402396428</v>
      </c>
      <c r="C272" s="41">
        <f t="shared" si="14"/>
        <v>0.36848466494047116</v>
      </c>
      <c r="D272" s="42">
        <f t="shared" si="18"/>
        <v>0.022253858957513972</v>
      </c>
      <c r="E272" s="34">
        <f t="shared" si="49"/>
        <v>0.6713116669080929</v>
      </c>
      <c r="F272" s="5">
        <v>605.03</v>
      </c>
      <c r="G272" s="43">
        <f t="shared" si="12"/>
        <v>-0.2599999999999909</v>
      </c>
      <c r="H272" s="42">
        <f t="shared" si="13"/>
        <v>-0.0004295461679525367</v>
      </c>
      <c r="I272" s="34">
        <f t="shared" si="50"/>
        <v>0.7573777158127106</v>
      </c>
    </row>
    <row r="273" spans="1:9" ht="11.25">
      <c r="A273" s="30" t="s">
        <v>50</v>
      </c>
      <c r="B273" s="31">
        <v>17.654827131313432</v>
      </c>
      <c r="C273" s="41">
        <f t="shared" si="14"/>
        <v>0.7281057289170043</v>
      </c>
      <c r="D273" s="42">
        <f t="shared" si="18"/>
        <v>0.04301516587931326</v>
      </c>
      <c r="E273" s="34">
        <f aca="true" t="shared" si="51" ref="E273:E278">(B273-$B$3)/$B$3</f>
        <v>0.7432034154961761</v>
      </c>
      <c r="F273" s="5">
        <v>630.82</v>
      </c>
      <c r="G273" s="43">
        <f t="shared" si="12"/>
        <v>25.790000000000077</v>
      </c>
      <c r="H273" s="42">
        <f t="shared" si="13"/>
        <v>0.042625985488323026</v>
      </c>
      <c r="I273" s="34">
        <f aca="true" t="shared" si="52" ref="I273:I278">(F273-$F$3)/$F$3</f>
        <v>0.8322876728244455</v>
      </c>
    </row>
    <row r="274" spans="1:9" ht="11.25">
      <c r="A274" s="30" t="s">
        <v>51</v>
      </c>
      <c r="B274" s="31">
        <v>18.071978397366525</v>
      </c>
      <c r="C274" s="41">
        <f t="shared" si="14"/>
        <v>0.41715126605309294</v>
      </c>
      <c r="D274" s="42">
        <f t="shared" si="18"/>
        <v>0.02362817052528449</v>
      </c>
      <c r="E274" s="34">
        <f t="shared" si="51"/>
        <v>0.7843921230577781</v>
      </c>
      <c r="F274" s="5">
        <v>635.25</v>
      </c>
      <c r="G274" s="43">
        <f t="shared" si="12"/>
        <v>4.42999999999995</v>
      </c>
      <c r="H274" s="42">
        <f t="shared" si="13"/>
        <v>0.00702260549760621</v>
      </c>
      <c r="I274" s="34">
        <f t="shared" si="52"/>
        <v>0.8451551063088185</v>
      </c>
    </row>
    <row r="275" spans="1:9" ht="11.25">
      <c r="A275" s="30" t="s">
        <v>52</v>
      </c>
      <c r="B275" s="31">
        <v>18.363109383706913</v>
      </c>
      <c r="C275" s="41">
        <f t="shared" si="14"/>
        <v>0.2911309863403879</v>
      </c>
      <c r="D275" s="42">
        <f t="shared" si="18"/>
        <v>0.01610952491968516</v>
      </c>
      <c r="E275" s="34">
        <f t="shared" si="51"/>
        <v>0.8131378324306672</v>
      </c>
      <c r="F275" s="5">
        <v>646.03</v>
      </c>
      <c r="G275" s="43">
        <f t="shared" si="12"/>
        <v>10.779999999999973</v>
      </c>
      <c r="H275" s="42">
        <f t="shared" si="13"/>
        <v>0.016969696969696926</v>
      </c>
      <c r="I275" s="34">
        <f t="shared" si="52"/>
        <v>0.8764668293249681</v>
      </c>
    </row>
    <row r="276" spans="1:9" ht="11.25">
      <c r="A276" s="30" t="s">
        <v>314</v>
      </c>
      <c r="B276" s="31">
        <v>18.72136630715536</v>
      </c>
      <c r="C276" s="41">
        <f t="shared" si="14"/>
        <v>0.3582569234484474</v>
      </c>
      <c r="D276" s="42">
        <f t="shared" si="18"/>
        <v>0.01950960025137785</v>
      </c>
      <c r="E276" s="34">
        <f t="shared" si="51"/>
        <v>0.8485114267420393</v>
      </c>
      <c r="F276" s="5">
        <v>641.15</v>
      </c>
      <c r="G276" s="43">
        <f t="shared" si="12"/>
        <v>-4.8799999999999955</v>
      </c>
      <c r="H276" s="42">
        <f t="shared" si="13"/>
        <v>-0.007553828769561778</v>
      </c>
      <c r="I276" s="34">
        <f t="shared" si="52"/>
        <v>0.8622923202044848</v>
      </c>
    </row>
    <row r="277" spans="1:9" ht="11.25">
      <c r="A277" s="30" t="s">
        <v>54</v>
      </c>
      <c r="B277" s="31">
        <v>18.611034412761974</v>
      </c>
      <c r="C277" s="41">
        <f t="shared" si="14"/>
        <v>-0.11033189439338642</v>
      </c>
      <c r="D277" s="42">
        <f t="shared" si="18"/>
        <v>-0.0058933676411863836</v>
      </c>
      <c r="E277" s="34">
        <f t="shared" si="51"/>
        <v>0.8376174693153144</v>
      </c>
      <c r="F277" s="5">
        <v>646.64</v>
      </c>
      <c r="G277" s="43">
        <f t="shared" si="12"/>
        <v>5.490000000000009</v>
      </c>
      <c r="H277" s="42">
        <f t="shared" si="13"/>
        <v>0.008562738828667253</v>
      </c>
      <c r="I277" s="34">
        <f t="shared" si="52"/>
        <v>0.8782386429650286</v>
      </c>
    </row>
    <row r="278" spans="1:9" ht="11.25">
      <c r="A278" s="30" t="s">
        <v>55</v>
      </c>
      <c r="B278" s="31">
        <v>18.565695853618084</v>
      </c>
      <c r="C278" s="41">
        <f t="shared" si="14"/>
        <v>-0.04533855914388951</v>
      </c>
      <c r="D278" s="42">
        <f t="shared" si="18"/>
        <v>-0.0024361117248163228</v>
      </c>
      <c r="E278" s="34">
        <f t="shared" si="51"/>
        <v>0.8331408278525881</v>
      </c>
      <c r="F278" s="5">
        <v>659.43</v>
      </c>
      <c r="G278" s="43">
        <f t="shared" si="12"/>
        <v>12.789999999999964</v>
      </c>
      <c r="H278" s="42">
        <f t="shared" si="13"/>
        <v>0.019779166151181436</v>
      </c>
      <c r="I278" s="34">
        <f t="shared" si="52"/>
        <v>0.9153886371558034</v>
      </c>
    </row>
    <row r="279" spans="1:9" ht="11.25">
      <c r="A279" s="30" t="s">
        <v>56</v>
      </c>
      <c r="B279" s="31">
        <v>18.403995890783214</v>
      </c>
      <c r="C279" s="41">
        <f t="shared" si="14"/>
        <v>-0.1616999628348701</v>
      </c>
      <c r="D279" s="42">
        <f t="shared" si="18"/>
        <v>-0.008709609599866303</v>
      </c>
      <c r="E279" s="34">
        <f aca="true" t="shared" si="53" ref="E279:E284">(B279-$B$3)/$B$3</f>
        <v>0.8171748869004163</v>
      </c>
      <c r="F279" s="5">
        <v>659.29</v>
      </c>
      <c r="G279" s="43">
        <f t="shared" si="12"/>
        <v>-0.13999999999998636</v>
      </c>
      <c r="H279" s="42">
        <f t="shared" si="13"/>
        <v>-0.0002123045660646109</v>
      </c>
      <c r="I279" s="34">
        <f aca="true" t="shared" si="54" ref="I279:I284">(F279-$F$3)/$F$3</f>
        <v>0.9149819914023469</v>
      </c>
    </row>
    <row r="280" spans="1:9" ht="11.25">
      <c r="A280" s="30" t="s">
        <v>316</v>
      </c>
      <c r="B280" s="31">
        <v>18.37097858471998</v>
      </c>
      <c r="C280" s="41">
        <f t="shared" si="14"/>
        <v>-0.03301730606323616</v>
      </c>
      <c r="D280" s="42">
        <f t="shared" si="18"/>
        <v>-0.0017940292020914516</v>
      </c>
      <c r="E280" s="34">
        <f t="shared" si="53"/>
        <v>0.8139148220880098</v>
      </c>
      <c r="F280" s="5">
        <v>664.36</v>
      </c>
      <c r="G280" s="43">
        <f t="shared" si="12"/>
        <v>5.07000000000005</v>
      </c>
      <c r="H280" s="42">
        <f t="shared" si="13"/>
        <v>0.007690090855314126</v>
      </c>
      <c r="I280" s="34">
        <f t="shared" si="54"/>
        <v>0.9297083769025214</v>
      </c>
    </row>
    <row r="281" spans="1:9" ht="11.25">
      <c r="A281" s="30" t="s">
        <v>58</v>
      </c>
      <c r="B281" s="31">
        <v>18.85708508692244</v>
      </c>
      <c r="C281" s="41">
        <f aca="true" t="shared" si="55" ref="C281:C286">$B281-$B280</f>
        <v>0.48610650220246043</v>
      </c>
      <c r="D281" s="42">
        <f aca="true" t="shared" si="56" ref="D281:D286">$C281/$B280</f>
        <v>0.026460566592069214</v>
      </c>
      <c r="E281" s="34">
        <f t="shared" si="53"/>
        <v>0.8619120360302109</v>
      </c>
      <c r="F281" s="5">
        <v>667.08</v>
      </c>
      <c r="G281" s="43">
        <f aca="true" t="shared" si="57" ref="G281:G286">$F281-$F280</f>
        <v>2.7200000000000273</v>
      </c>
      <c r="H281" s="42">
        <f aca="true" t="shared" si="58" ref="H281:H286">$G281/$F280</f>
        <v>0.004094165813715496</v>
      </c>
      <c r="I281" s="34">
        <f t="shared" si="54"/>
        <v>0.9376089229696761</v>
      </c>
    </row>
    <row r="282" spans="1:9" ht="11.25">
      <c r="A282" s="30" t="s">
        <v>59</v>
      </c>
      <c r="B282" s="31">
        <v>18.62013588351302</v>
      </c>
      <c r="C282" s="41">
        <f t="shared" si="55"/>
        <v>-0.23694920340942005</v>
      </c>
      <c r="D282" s="42">
        <f t="shared" si="56"/>
        <v>-0.012565526554989482</v>
      </c>
      <c r="E282" s="34">
        <f t="shared" si="53"/>
        <v>0.8385161308984188</v>
      </c>
      <c r="F282" s="5">
        <v>674</v>
      </c>
      <c r="G282" s="43">
        <f t="shared" si="57"/>
        <v>6.919999999999959</v>
      </c>
      <c r="H282" s="42">
        <f t="shared" si="58"/>
        <v>0.010373568387599626</v>
      </c>
      <c r="I282" s="34">
        <f t="shared" si="54"/>
        <v>0.9577088416405253</v>
      </c>
    </row>
    <row r="283" spans="1:9" ht="11.25">
      <c r="A283" s="30" t="s">
        <v>60</v>
      </c>
      <c r="B283" s="31">
        <v>18.56781708947045</v>
      </c>
      <c r="C283" s="41">
        <f t="shared" si="55"/>
        <v>-0.052318794042570005</v>
      </c>
      <c r="D283" s="42">
        <f t="shared" si="56"/>
        <v>-0.0028097965755929347</v>
      </c>
      <c r="E283" s="34">
        <f t="shared" si="53"/>
        <v>0.833350274569648</v>
      </c>
      <c r="F283" s="5">
        <v>674.45</v>
      </c>
      <c r="G283" s="43">
        <f t="shared" si="57"/>
        <v>0.4500000000000455</v>
      </c>
      <c r="H283" s="42">
        <f t="shared" si="58"/>
        <v>0.0006676557863502158</v>
      </c>
      <c r="I283" s="34">
        <f t="shared" si="54"/>
        <v>0.9590159172766356</v>
      </c>
    </row>
    <row r="284" spans="1:9" ht="11.25">
      <c r="A284" s="30" t="s">
        <v>317</v>
      </c>
      <c r="B284" s="31">
        <v>18.572349048957282</v>
      </c>
      <c r="C284" s="41">
        <f t="shared" si="55"/>
        <v>0.004531959486833159</v>
      </c>
      <c r="D284" s="42">
        <f t="shared" si="56"/>
        <v>0.00024407605185873844</v>
      </c>
      <c r="E284" s="34">
        <f t="shared" si="53"/>
        <v>0.8337977514663392</v>
      </c>
      <c r="F284" s="5">
        <v>689.05</v>
      </c>
      <c r="G284" s="43">
        <f t="shared" si="57"/>
        <v>14.599999999999909</v>
      </c>
      <c r="H284" s="42">
        <f t="shared" si="58"/>
        <v>0.021647268144413832</v>
      </c>
      <c r="I284" s="34">
        <f t="shared" si="54"/>
        <v>1.0014232601370978</v>
      </c>
    </row>
    <row r="285" spans="1:9" ht="11.25">
      <c r="A285" s="30" t="s">
        <v>62</v>
      </c>
      <c r="B285" s="31">
        <v>18.662725831520586</v>
      </c>
      <c r="C285" s="41">
        <f t="shared" si="55"/>
        <v>0.09037678256330395</v>
      </c>
      <c r="D285" s="42">
        <f t="shared" si="56"/>
        <v>0.004866200948790483</v>
      </c>
      <c r="E285" s="34">
        <f aca="true" t="shared" si="59" ref="E285:E291">(B285-$B$3)/$B$3</f>
        <v>0.8427213798244145</v>
      </c>
      <c r="F285" s="5">
        <v>691.88</v>
      </c>
      <c r="G285" s="43">
        <f t="shared" si="57"/>
        <v>2.830000000000041</v>
      </c>
      <c r="H285" s="42">
        <f t="shared" si="58"/>
        <v>0.004107103983745797</v>
      </c>
      <c r="I285" s="34">
        <f aca="true" t="shared" si="60" ref="I285:I291">(F285-$F$3)/$F$3</f>
        <v>1.0096433135819682</v>
      </c>
    </row>
    <row r="286" spans="1:9" ht="11.25">
      <c r="A286" s="30" t="s">
        <v>63</v>
      </c>
      <c r="B286" s="31">
        <v>18.613691876064077</v>
      </c>
      <c r="C286" s="41">
        <f t="shared" si="55"/>
        <v>-0.04903395545650824</v>
      </c>
      <c r="D286" s="42">
        <f t="shared" si="56"/>
        <v>-0.0026273737233867456</v>
      </c>
      <c r="E286" s="34">
        <f t="shared" si="59"/>
        <v>0.8378798620915409</v>
      </c>
      <c r="F286" s="5">
        <v>687.88</v>
      </c>
      <c r="G286" s="43">
        <f t="shared" si="57"/>
        <v>-4</v>
      </c>
      <c r="H286" s="42">
        <f t="shared" si="58"/>
        <v>-0.005781349366942245</v>
      </c>
      <c r="I286" s="34">
        <f t="shared" si="60"/>
        <v>0.9980248634832115</v>
      </c>
    </row>
    <row r="287" spans="1:9" ht="11.25">
      <c r="A287" s="30" t="s">
        <v>64</v>
      </c>
      <c r="B287" s="31">
        <v>18.62311121821491</v>
      </c>
      <c r="C287" s="41">
        <f aca="true" t="shared" si="61" ref="C287:C294">$B287-$B286</f>
        <v>0.009419342150831511</v>
      </c>
      <c r="D287" s="42">
        <f aca="true" t="shared" si="62" ref="D287:D294">$C287/$B286</f>
        <v>0.0005060437345556437</v>
      </c>
      <c r="E287" s="34">
        <f t="shared" si="59"/>
        <v>0.8388099096806183</v>
      </c>
      <c r="F287" s="5">
        <v>700.93</v>
      </c>
      <c r="G287" s="43">
        <f aca="true" t="shared" si="63" ref="G287:G294">$F287-$F286</f>
        <v>13.049999999999955</v>
      </c>
      <c r="H287" s="42">
        <f aca="true" t="shared" si="64" ref="H287:H294">$G287/$F286</f>
        <v>0.018971332209106174</v>
      </c>
      <c r="I287" s="34">
        <f t="shared" si="60"/>
        <v>1.0359300569304055</v>
      </c>
    </row>
    <row r="288" spans="1:9" ht="11.25">
      <c r="A288" s="30" t="s">
        <v>65</v>
      </c>
      <c r="B288" s="31">
        <v>18.56144592493414</v>
      </c>
      <c r="C288" s="41">
        <f t="shared" si="61"/>
        <v>-0.061665293280768196</v>
      </c>
      <c r="D288" s="42">
        <f t="shared" si="62"/>
        <v>-0.0033112240247190573</v>
      </c>
      <c r="E288" s="34">
        <f t="shared" si="59"/>
        <v>0.8327211981307923</v>
      </c>
      <c r="F288" s="5">
        <v>709.15</v>
      </c>
      <c r="G288" s="43">
        <f t="shared" si="63"/>
        <v>8.220000000000027</v>
      </c>
      <c r="H288" s="42">
        <f t="shared" si="64"/>
        <v>0.011727276618207279</v>
      </c>
      <c r="I288" s="34">
        <f t="shared" si="60"/>
        <v>1.0598059718833508</v>
      </c>
    </row>
    <row r="289" spans="1:9" ht="11.25">
      <c r="A289" s="30" t="s">
        <v>319</v>
      </c>
      <c r="B289" s="31">
        <v>18.241597815252597</v>
      </c>
      <c r="C289" s="41">
        <f t="shared" si="61"/>
        <v>-0.3198481096815442</v>
      </c>
      <c r="D289" s="42">
        <f t="shared" si="62"/>
        <v>-0.0172318531096698</v>
      </c>
      <c r="E289" s="34">
        <f t="shared" si="59"/>
        <v>0.8011400156536245</v>
      </c>
      <c r="F289" s="5">
        <v>718.33</v>
      </c>
      <c r="G289" s="43">
        <f t="shared" si="63"/>
        <v>9.180000000000064</v>
      </c>
      <c r="H289" s="42">
        <f t="shared" si="64"/>
        <v>0.012945075089896445</v>
      </c>
      <c r="I289" s="34">
        <f t="shared" si="60"/>
        <v>1.086470314859998</v>
      </c>
    </row>
    <row r="290" spans="1:9" ht="11.25">
      <c r="A290" s="30" t="s">
        <v>67</v>
      </c>
      <c r="B290" s="31">
        <v>18.12489907352139</v>
      </c>
      <c r="C290" s="41">
        <f t="shared" si="61"/>
        <v>-0.11669874173120576</v>
      </c>
      <c r="D290" s="42">
        <f t="shared" si="62"/>
        <v>-0.006397396922852276</v>
      </c>
      <c r="E290" s="34">
        <f t="shared" si="59"/>
        <v>0.7896174080598558</v>
      </c>
      <c r="F290" s="5">
        <v>718.47</v>
      </c>
      <c r="G290" s="43">
        <f t="shared" si="63"/>
        <v>0.13999999999998636</v>
      </c>
      <c r="H290" s="42">
        <f t="shared" si="64"/>
        <v>0.00019489649603940577</v>
      </c>
      <c r="I290" s="34">
        <f t="shared" si="60"/>
        <v>1.0868769606134545</v>
      </c>
    </row>
    <row r="291" spans="1:9" ht="11.25">
      <c r="A291" s="30" t="s">
        <v>68</v>
      </c>
      <c r="B291" s="31">
        <v>18.172395164382735</v>
      </c>
      <c r="C291" s="41">
        <f t="shared" si="61"/>
        <v>0.04749609086134399</v>
      </c>
      <c r="D291" s="42">
        <f t="shared" si="62"/>
        <v>0.0026204885703739384</v>
      </c>
      <c r="E291" s="34">
        <f t="shared" si="59"/>
        <v>0.794307080023019</v>
      </c>
      <c r="F291" s="5">
        <v>723.39</v>
      </c>
      <c r="G291" s="43">
        <f t="shared" si="63"/>
        <v>4.919999999999959</v>
      </c>
      <c r="H291" s="42">
        <f t="shared" si="64"/>
        <v>0.006847885089147715</v>
      </c>
      <c r="I291" s="34">
        <f t="shared" si="60"/>
        <v>1.1011676542349251</v>
      </c>
    </row>
    <row r="292" spans="1:9" ht="11.25">
      <c r="A292" s="30" t="s">
        <v>69</v>
      </c>
      <c r="B292" s="31">
        <v>17.955681533715943</v>
      </c>
      <c r="C292" s="41">
        <f t="shared" si="61"/>
        <v>-0.21671363066679206</v>
      </c>
      <c r="D292" s="42">
        <f t="shared" si="62"/>
        <v>-0.011925430231208227</v>
      </c>
      <c r="E292" s="34">
        <f aca="true" t="shared" si="65" ref="E292:E297">(B292-$B$3)/$B$3</f>
        <v>0.7729091961268415</v>
      </c>
      <c r="F292" s="5">
        <v>721.65</v>
      </c>
      <c r="G292" s="43">
        <f t="shared" si="63"/>
        <v>-1.740000000000009</v>
      </c>
      <c r="H292" s="42">
        <f t="shared" si="64"/>
        <v>-0.0024053415170240244</v>
      </c>
      <c r="I292" s="34">
        <f aca="true" t="shared" si="66" ref="I292:I297">(F292-$F$3)/$F$3</f>
        <v>1.096113628441966</v>
      </c>
    </row>
    <row r="293" spans="1:9" ht="11.25">
      <c r="A293" s="30" t="s">
        <v>70</v>
      </c>
      <c r="B293" s="31">
        <v>17.897021106454492</v>
      </c>
      <c r="C293" s="41">
        <f t="shared" si="61"/>
        <v>-0.05866042726145082</v>
      </c>
      <c r="D293" s="42">
        <f t="shared" si="62"/>
        <v>-0.0032669563197198787</v>
      </c>
      <c r="E293" s="34">
        <f t="shared" si="65"/>
        <v>0.7671171792242654</v>
      </c>
      <c r="F293" s="5">
        <v>734.89</v>
      </c>
      <c r="G293" s="43">
        <f t="shared" si="63"/>
        <v>13.240000000000009</v>
      </c>
      <c r="H293" s="42">
        <f t="shared" si="64"/>
        <v>0.018346844037968556</v>
      </c>
      <c r="I293" s="34">
        <f t="shared" si="66"/>
        <v>1.134570698268851</v>
      </c>
    </row>
    <row r="294" spans="1:9" ht="11.25">
      <c r="A294" s="30" t="s">
        <v>324</v>
      </c>
      <c r="B294" s="31">
        <v>18.034229523784916</v>
      </c>
      <c r="C294" s="41">
        <f t="shared" si="61"/>
        <v>0.13720841733042377</v>
      </c>
      <c r="D294" s="42">
        <f t="shared" si="62"/>
        <v>0.007666550568068565</v>
      </c>
      <c r="E294" s="34">
        <f t="shared" si="65"/>
        <v>0.7806648724384909</v>
      </c>
      <c r="F294" s="5">
        <v>746.81</v>
      </c>
      <c r="G294" s="43">
        <f t="shared" si="63"/>
        <v>11.919999999999959</v>
      </c>
      <c r="H294" s="42">
        <f t="shared" si="64"/>
        <v>0.01622011457497035</v>
      </c>
      <c r="I294" s="34">
        <f t="shared" si="66"/>
        <v>1.1691936795631463</v>
      </c>
    </row>
    <row r="295" spans="1:9" ht="11.25">
      <c r="A295" s="30" t="s">
        <v>325</v>
      </c>
      <c r="B295" s="31">
        <v>18.137868677300975</v>
      </c>
      <c r="C295" s="41">
        <f aca="true" t="shared" si="67" ref="C295:C300">$B295-$B294</f>
        <v>0.10363915351605968</v>
      </c>
      <c r="D295" s="42">
        <f aca="true" t="shared" si="68" ref="D295:D300">$C295/$B294</f>
        <v>0.005746802400367172</v>
      </c>
      <c r="E295" s="34">
        <f t="shared" si="65"/>
        <v>0.7908980016016699</v>
      </c>
      <c r="F295" s="5">
        <v>764.23</v>
      </c>
      <c r="G295" s="43">
        <f aca="true" t="shared" si="69" ref="G295:G300">$F295-$F294</f>
        <v>17.420000000000073</v>
      </c>
      <c r="H295" s="42">
        <f aca="true" t="shared" si="70" ref="H295:H300">$G295/$F294</f>
        <v>0.023325879407078205</v>
      </c>
      <c r="I295" s="34">
        <f t="shared" si="66"/>
        <v>1.2197920297432325</v>
      </c>
    </row>
    <row r="296" spans="1:9" ht="11.25">
      <c r="A296" s="30" t="s">
        <v>326</v>
      </c>
      <c r="B296" s="31">
        <v>18.19538318047394</v>
      </c>
      <c r="C296" s="41">
        <f t="shared" si="67"/>
        <v>0.05751450317296403</v>
      </c>
      <c r="D296" s="42">
        <f t="shared" si="68"/>
        <v>0.003170962597438021</v>
      </c>
      <c r="E296" s="34">
        <f t="shared" si="65"/>
        <v>0.7965768721805754</v>
      </c>
      <c r="F296" s="5">
        <v>772.15</v>
      </c>
      <c r="G296" s="43">
        <f t="shared" si="69"/>
        <v>7.919999999999959</v>
      </c>
      <c r="H296" s="42">
        <f t="shared" si="70"/>
        <v>0.010363372283213115</v>
      </c>
      <c r="I296" s="34">
        <f t="shared" si="66"/>
        <v>1.2427965609387708</v>
      </c>
    </row>
    <row r="297" spans="1:9" ht="11.25">
      <c r="A297" s="30" t="s">
        <v>327</v>
      </c>
      <c r="B297" s="31">
        <v>19.31799670486959</v>
      </c>
      <c r="C297" s="41">
        <f t="shared" si="67"/>
        <v>1.1226135243956499</v>
      </c>
      <c r="D297" s="42">
        <f t="shared" si="68"/>
        <v>0.06169771272530073</v>
      </c>
      <c r="E297" s="34">
        <f t="shared" si="65"/>
        <v>0.9074215559292917</v>
      </c>
      <c r="F297" s="5">
        <v>790.93</v>
      </c>
      <c r="G297" s="43">
        <f t="shared" si="69"/>
        <v>18.779999999999973</v>
      </c>
      <c r="H297" s="42">
        <f t="shared" si="70"/>
        <v>0.02432169915171919</v>
      </c>
      <c r="I297" s="34">
        <f t="shared" si="66"/>
        <v>1.2973451841524342</v>
      </c>
    </row>
    <row r="298" spans="1:9" ht="11.25">
      <c r="A298" s="30" t="s">
        <v>74</v>
      </c>
      <c r="B298" s="31">
        <v>19.17226692267338</v>
      </c>
      <c r="C298" s="41">
        <f t="shared" si="67"/>
        <v>-0.14572978219620936</v>
      </c>
      <c r="D298" s="42">
        <f t="shared" si="68"/>
        <v>-0.007543731600258244</v>
      </c>
      <c r="E298" s="34">
        <f aca="true" t="shared" si="71" ref="E298:E303">(B298-$B$3)/$B$3</f>
        <v>0.8930324796628143</v>
      </c>
      <c r="F298" s="5">
        <v>769.68</v>
      </c>
      <c r="G298" s="43">
        <f t="shared" si="69"/>
        <v>-21.25</v>
      </c>
      <c r="H298" s="42">
        <f t="shared" si="70"/>
        <v>-0.026867105812145197</v>
      </c>
      <c r="I298" s="34">
        <f aca="true" t="shared" si="72" ref="I298:I303">(F298-$F$3)/$F$3</f>
        <v>1.2356221680027886</v>
      </c>
    </row>
    <row r="299" spans="1:9" ht="11.25">
      <c r="A299" s="30" t="s">
        <v>75</v>
      </c>
      <c r="B299" s="31">
        <v>19.113443428797915</v>
      </c>
      <c r="C299" s="41">
        <f t="shared" si="67"/>
        <v>-0.05882349387546526</v>
      </c>
      <c r="D299" s="42">
        <f t="shared" si="68"/>
        <v>-0.003068155378428401</v>
      </c>
      <c r="E299" s="34">
        <f t="shared" si="71"/>
        <v>0.8872243618787972</v>
      </c>
      <c r="F299" s="5">
        <v>750.97</v>
      </c>
      <c r="G299" s="43">
        <f t="shared" si="69"/>
        <v>-18.709999999999923</v>
      </c>
      <c r="H299" s="42">
        <f t="shared" si="70"/>
        <v>-0.024308803658663242</v>
      </c>
      <c r="I299" s="34">
        <f t="shared" si="72"/>
        <v>1.1812768676658536</v>
      </c>
    </row>
    <row r="300" spans="1:9" ht="11.25">
      <c r="A300" s="30" t="s">
        <v>76</v>
      </c>
      <c r="B300" s="31">
        <v>19.12076138493952</v>
      </c>
      <c r="C300" s="41">
        <f t="shared" si="67"/>
        <v>0.007317956141605464</v>
      </c>
      <c r="D300" s="42">
        <f t="shared" si="68"/>
        <v>0.0003828695843774345</v>
      </c>
      <c r="E300" s="34">
        <f t="shared" si="71"/>
        <v>0.8879469226858566</v>
      </c>
      <c r="F300" s="5">
        <v>773.55</v>
      </c>
      <c r="G300" s="43">
        <f t="shared" si="69"/>
        <v>22.579999999999927</v>
      </c>
      <c r="H300" s="42">
        <f t="shared" si="70"/>
        <v>0.030067779005819043</v>
      </c>
      <c r="I300" s="34">
        <f t="shared" si="72"/>
        <v>1.2468630184733358</v>
      </c>
    </row>
    <row r="301" spans="1:9" ht="11.25">
      <c r="A301" s="30" t="s">
        <v>77</v>
      </c>
      <c r="B301" s="31">
        <v>19.040249133637516</v>
      </c>
      <c r="C301" s="41">
        <f aca="true" t="shared" si="73" ref="C301:C306">$B301-$B300</f>
        <v>-0.08051225130200379</v>
      </c>
      <c r="D301" s="42">
        <f aca="true" t="shared" si="74" ref="D301:D306">$C301/$B300</f>
        <v>-0.004210724127618648</v>
      </c>
      <c r="E301" s="34">
        <f t="shared" si="71"/>
        <v>0.8799972990268399</v>
      </c>
      <c r="F301" s="5">
        <v>783.44</v>
      </c>
      <c r="G301" s="43">
        <f aca="true" t="shared" si="75" ref="G301:G306">$F301-$F300</f>
        <v>9.8900000000001</v>
      </c>
      <c r="H301" s="42">
        <f aca="true" t="shared" si="76" ref="H301:H306">$G301/$F300</f>
        <v>0.012785211040010472</v>
      </c>
      <c r="I301" s="34">
        <f t="shared" si="72"/>
        <v>1.2755896363425123</v>
      </c>
    </row>
    <row r="302" spans="1:9" ht="11.25">
      <c r="A302" s="30" t="s">
        <v>330</v>
      </c>
      <c r="B302" s="31">
        <v>18.833050696177803</v>
      </c>
      <c r="C302" s="41">
        <f t="shared" si="73"/>
        <v>-0.2071984374597129</v>
      </c>
      <c r="D302" s="42">
        <f t="shared" si="74"/>
        <v>-0.010882128485055646</v>
      </c>
      <c r="E302" s="34">
        <f t="shared" si="71"/>
        <v>0.8595389268672723</v>
      </c>
      <c r="F302" s="5">
        <v>794.01</v>
      </c>
      <c r="G302" s="43">
        <f t="shared" si="75"/>
        <v>10.569999999999936</v>
      </c>
      <c r="H302" s="42">
        <f t="shared" si="76"/>
        <v>0.013491779842744736</v>
      </c>
      <c r="I302" s="34">
        <f t="shared" si="72"/>
        <v>1.306291390728477</v>
      </c>
    </row>
    <row r="303" spans="1:9" ht="11.25">
      <c r="A303" s="30" t="s">
        <v>79</v>
      </c>
      <c r="B303" s="31">
        <v>18.73324549067981</v>
      </c>
      <c r="C303" s="41">
        <f t="shared" si="73"/>
        <v>-0.09980520549799365</v>
      </c>
      <c r="D303" s="42">
        <f t="shared" si="74"/>
        <v>-0.005299470973029838</v>
      </c>
      <c r="E303" s="34">
        <f t="shared" si="71"/>
        <v>0.8496843543011201</v>
      </c>
      <c r="F303" s="5">
        <v>792.23</v>
      </c>
      <c r="G303" s="43">
        <f t="shared" si="75"/>
        <v>-1.7799999999999727</v>
      </c>
      <c r="H303" s="42">
        <f t="shared" si="76"/>
        <v>-0.002241785367942435</v>
      </c>
      <c r="I303" s="34">
        <f t="shared" si="72"/>
        <v>1.3011211804345302</v>
      </c>
    </row>
    <row r="304" spans="1:9" ht="11.25">
      <c r="A304" s="30" t="s">
        <v>80</v>
      </c>
      <c r="B304" s="31">
        <v>18.973402900907676</v>
      </c>
      <c r="C304" s="41">
        <f t="shared" si="73"/>
        <v>0.24015741022786585</v>
      </c>
      <c r="D304" s="42">
        <f t="shared" si="74"/>
        <v>0.01281985069524388</v>
      </c>
      <c r="E304" s="34">
        <f aca="true" t="shared" si="77" ref="E304:E310">(B304-$B$3)/$B$3</f>
        <v>0.8733970315565891</v>
      </c>
      <c r="F304" s="5">
        <v>790.84</v>
      </c>
      <c r="G304" s="43">
        <f t="shared" si="75"/>
        <v>-1.3899999999999864</v>
      </c>
      <c r="H304" s="42">
        <f t="shared" si="76"/>
        <v>-0.0017545409792610559</v>
      </c>
      <c r="I304" s="34">
        <f aca="true" t="shared" si="78" ref="I304:I310">(F304-$F$3)/$F$3</f>
        <v>1.2970837690252124</v>
      </c>
    </row>
    <row r="305" spans="1:9" ht="11.25">
      <c r="A305" s="30" t="s">
        <v>81</v>
      </c>
      <c r="B305" s="31">
        <v>18.655796856307088</v>
      </c>
      <c r="C305" s="41">
        <f t="shared" si="73"/>
        <v>-0.3176060446005877</v>
      </c>
      <c r="D305" s="42">
        <f t="shared" si="74"/>
        <v>-0.016739540411350968</v>
      </c>
      <c r="E305" s="34">
        <f t="shared" si="77"/>
        <v>0.8420372262403426</v>
      </c>
      <c r="F305" s="5">
        <v>767.39</v>
      </c>
      <c r="G305" s="43">
        <f t="shared" si="75"/>
        <v>-23.450000000000045</v>
      </c>
      <c r="H305" s="42">
        <f t="shared" si="76"/>
        <v>-0.02965201557837242</v>
      </c>
      <c r="I305" s="34">
        <f t="shared" si="78"/>
        <v>1.2289706053212504</v>
      </c>
    </row>
    <row r="306" spans="1:9" ht="11.25">
      <c r="A306" s="30" t="s">
        <v>82</v>
      </c>
      <c r="B306" s="31">
        <v>18.615904359466533</v>
      </c>
      <c r="C306" s="41">
        <f t="shared" si="73"/>
        <v>-0.039892496840554514</v>
      </c>
      <c r="D306" s="42">
        <f t="shared" si="74"/>
        <v>-0.0021383432263879843</v>
      </c>
      <c r="E306" s="34">
        <f t="shared" si="77"/>
        <v>0.838098318414857</v>
      </c>
      <c r="F306" s="5">
        <v>778.44</v>
      </c>
      <c r="G306" s="43">
        <f t="shared" si="75"/>
        <v>11.050000000000068</v>
      </c>
      <c r="H306" s="42">
        <f t="shared" si="76"/>
        <v>0.014399457902761398</v>
      </c>
      <c r="I306" s="34">
        <f t="shared" si="78"/>
        <v>1.2610665737190663</v>
      </c>
    </row>
    <row r="307" spans="1:9" ht="11.25">
      <c r="A307" s="30" t="s">
        <v>335</v>
      </c>
      <c r="B307" s="31">
        <v>18.3499638101259</v>
      </c>
      <c r="C307" s="41">
        <f aca="true" t="shared" si="79" ref="C307:C312">$B307-$B306</f>
        <v>-0.26594054934063394</v>
      </c>
      <c r="D307" s="42">
        <f aca="true" t="shared" si="80" ref="D307:D312">$C307/$B306</f>
        <v>-0.014285663710202626</v>
      </c>
      <c r="E307" s="34">
        <f t="shared" si="77"/>
        <v>0.8118398639716935</v>
      </c>
      <c r="F307" s="5">
        <v>774.67</v>
      </c>
      <c r="G307" s="43">
        <f aca="true" t="shared" si="81" ref="G307:G312">$F307-$F306</f>
        <v>-3.7700000000000955</v>
      </c>
      <c r="H307" s="42">
        <f aca="true" t="shared" si="82" ref="H307:H312">$G307/$F306</f>
        <v>-0.0048430193720776105</v>
      </c>
      <c r="I307" s="34">
        <f t="shared" si="78"/>
        <v>1.2501161845009876</v>
      </c>
    </row>
    <row r="308" spans="1:9" ht="11.25">
      <c r="A308" s="30" t="s">
        <v>84</v>
      </c>
      <c r="B308" s="31">
        <v>18.277402476622587</v>
      </c>
      <c r="C308" s="41">
        <f t="shared" si="79"/>
        <v>-0.0725613335033124</v>
      </c>
      <c r="D308" s="42">
        <f t="shared" si="80"/>
        <v>-0.003954303902401786</v>
      </c>
      <c r="E308" s="34">
        <f t="shared" si="77"/>
        <v>0.8046752985270631</v>
      </c>
      <c r="F308" s="5">
        <v>771.88</v>
      </c>
      <c r="G308" s="43">
        <f t="shared" si="81"/>
        <v>-2.7899999999999636</v>
      </c>
      <c r="H308" s="42">
        <f t="shared" si="82"/>
        <v>-0.003601533556223894</v>
      </c>
      <c r="I308" s="34">
        <f t="shared" si="78"/>
        <v>1.2420123155571048</v>
      </c>
    </row>
    <row r="309" spans="1:9" ht="11.25">
      <c r="A309" s="30" t="s">
        <v>85</v>
      </c>
      <c r="B309" s="31">
        <v>18.13666221453414</v>
      </c>
      <c r="C309" s="41">
        <f t="shared" si="79"/>
        <v>-0.14074026208844614</v>
      </c>
      <c r="D309" s="42">
        <f t="shared" si="80"/>
        <v>-0.007700233239841256</v>
      </c>
      <c r="E309" s="34">
        <f t="shared" si="77"/>
        <v>0.7907788778062245</v>
      </c>
      <c r="F309" s="5">
        <v>766.72</v>
      </c>
      <c r="G309" s="43">
        <f t="shared" si="81"/>
        <v>-5.159999999999968</v>
      </c>
      <c r="H309" s="42">
        <f t="shared" si="82"/>
        <v>-0.006684976939420594</v>
      </c>
      <c r="I309" s="34">
        <f t="shared" si="78"/>
        <v>1.2270245149297085</v>
      </c>
    </row>
    <row r="310" spans="1:9" ht="11.25">
      <c r="A310" s="30" t="s">
        <v>86</v>
      </c>
      <c r="B310" s="31">
        <v>18.175775001623922</v>
      </c>
      <c r="C310" s="41">
        <f t="shared" si="79"/>
        <v>0.039112787089781165</v>
      </c>
      <c r="D310" s="42">
        <f t="shared" si="80"/>
        <v>0.002156559273538073</v>
      </c>
      <c r="E310" s="34">
        <f t="shared" si="77"/>
        <v>0.7946407986020136</v>
      </c>
      <c r="F310" s="5">
        <v>760.17</v>
      </c>
      <c r="G310" s="43">
        <f t="shared" si="81"/>
        <v>-6.550000000000068</v>
      </c>
      <c r="H310" s="42">
        <f t="shared" si="82"/>
        <v>-0.008542883973288904</v>
      </c>
      <c r="I310" s="34">
        <f t="shared" si="78"/>
        <v>1.207999302892994</v>
      </c>
    </row>
    <row r="311" spans="1:9" ht="11.25">
      <c r="A311" s="30" t="s">
        <v>87</v>
      </c>
      <c r="B311" s="31">
        <v>18.05457816738534</v>
      </c>
      <c r="C311" s="41">
        <f t="shared" si="79"/>
        <v>-0.12119683423858163</v>
      </c>
      <c r="D311" s="42">
        <f t="shared" si="80"/>
        <v>-0.006668042173043694</v>
      </c>
      <c r="E311" s="34">
        <f>(B311-$B$3)/$B$3</f>
        <v>0.7826740580714706</v>
      </c>
      <c r="F311" s="5">
        <v>754.55</v>
      </c>
      <c r="G311" s="43">
        <f t="shared" si="81"/>
        <v>-5.6200000000000045</v>
      </c>
      <c r="H311" s="42">
        <f t="shared" si="82"/>
        <v>-0.007393083126142843</v>
      </c>
      <c r="I311" s="34">
        <f>(F311-$F$3)/$F$3</f>
        <v>1.1916753805042408</v>
      </c>
    </row>
    <row r="312" spans="1:9" ht="11.25">
      <c r="A312" s="30" t="s">
        <v>338</v>
      </c>
      <c r="B312" s="31">
        <v>17.649461671677056</v>
      </c>
      <c r="C312" s="41">
        <f t="shared" si="79"/>
        <v>-0.4051164957082847</v>
      </c>
      <c r="D312" s="42">
        <f t="shared" si="80"/>
        <v>-0.022438435944192075</v>
      </c>
      <c r="E312" s="34">
        <f>(B312-$B$3)/$B$3</f>
        <v>0.742673640410061</v>
      </c>
      <c r="F312" s="5">
        <v>725.56</v>
      </c>
      <c r="G312" s="43">
        <f t="shared" si="81"/>
        <v>-28.99000000000001</v>
      </c>
      <c r="H312" s="42">
        <f t="shared" si="82"/>
        <v>-0.038420250480418805</v>
      </c>
      <c r="I312" s="34">
        <f>(F312-$F$3)/$F$3</f>
        <v>1.1074706634135008</v>
      </c>
    </row>
    <row r="313" spans="1:9" ht="11.25">
      <c r="A313" s="30" t="s">
        <v>90</v>
      </c>
      <c r="B313" s="31">
        <v>17.71776523901992</v>
      </c>
      <c r="C313" s="41">
        <f>$B313-$B312</f>
        <v>0.06830356734286269</v>
      </c>
      <c r="D313" s="42">
        <f>$C313/$B312</f>
        <v>0.0038700085370010308</v>
      </c>
      <c r="E313" s="34">
        <f>(B313-$B$3)/$B$3</f>
        <v>0.7494178022756546</v>
      </c>
      <c r="F313" s="5">
        <v>739.47</v>
      </c>
      <c r="G313" s="43">
        <f>$F313-$F312</f>
        <v>13.910000000000082</v>
      </c>
      <c r="H313" s="42">
        <f>$G313/$F312</f>
        <v>0.01917139864380628</v>
      </c>
      <c r="I313" s="34">
        <f>(F313-$F$3)/$F$3</f>
        <v>1.1478738236319277</v>
      </c>
    </row>
    <row r="314" spans="1:9" ht="11.25">
      <c r="A314" s="30" t="s">
        <v>91</v>
      </c>
      <c r="B314" s="31">
        <v>17.36045683882602</v>
      </c>
      <c r="C314" s="41">
        <f>$B314-$B313</f>
        <v>-0.3573084001938973</v>
      </c>
      <c r="D314" s="42">
        <f>$C314/$B313</f>
        <v>-0.02016667426019368</v>
      </c>
      <c r="E314" s="34">
        <f>(B314-$B$3)/$B$3</f>
        <v>0.7141378633121775</v>
      </c>
      <c r="F314" s="5">
        <v>722.14</v>
      </c>
      <c r="G314" s="43">
        <f>$F314-$F313</f>
        <v>-17.33000000000004</v>
      </c>
      <c r="H314" s="42">
        <f>$G314/$F313</f>
        <v>-0.023435703950126497</v>
      </c>
      <c r="I314" s="34">
        <f>(F314-$F$3)/$F$3</f>
        <v>1.0975368885790637</v>
      </c>
    </row>
    <row r="315" spans="1:9" ht="11.25">
      <c r="A315" s="30" t="s">
        <v>92</v>
      </c>
      <c r="B315" s="31">
        <v>17.086561927836062</v>
      </c>
      <c r="C315" s="41">
        <f>$B315-$B314</f>
        <v>-0.27389491098995933</v>
      </c>
      <c r="D315" s="42">
        <f>$C315/$B314</f>
        <v>-0.015776941444156208</v>
      </c>
      <c r="E315" s="34">
        <f>(B315-$B$3)/$B$3</f>
        <v>0.6870940106154902</v>
      </c>
      <c r="F315" s="5">
        <v>714.04</v>
      </c>
      <c r="G315" s="43">
        <f>$F315-$F314</f>
        <v>-8.100000000000023</v>
      </c>
      <c r="H315" s="42">
        <f>$G315/$F314</f>
        <v>-0.011216661589165568</v>
      </c>
      <c r="I315" s="34">
        <f>(F315-$F$3)/$F$3</f>
        <v>1.074009527129081</v>
      </c>
    </row>
    <row r="316" spans="1:9" ht="11.25">
      <c r="A316" s="30" t="s">
        <v>93</v>
      </c>
      <c r="B316" s="31">
        <v>16.841254501607732</v>
      </c>
      <c r="C316" s="41">
        <f>$B316-$B315</f>
        <v>-0.24530742622832946</v>
      </c>
      <c r="D316" s="42">
        <f>$C316/$B315</f>
        <v>-0.014356745802014986</v>
      </c>
      <c r="E316" s="34">
        <f>(B316-$B$3)/$B$3</f>
        <v>0.6628728307609817</v>
      </c>
      <c r="F316" s="5">
        <v>698.9</v>
      </c>
      <c r="G316" s="43">
        <f>$F316-$F315</f>
        <v>-15.139999999999986</v>
      </c>
      <c r="H316" s="42">
        <f>$G316/$F315</f>
        <v>-0.021203293933112974</v>
      </c>
      <c r="I316" s="34">
        <f>(F316-$F$3)/$F$3</f>
        <v>1.0300336935052865</v>
      </c>
    </row>
    <row r="317" spans="1:9" ht="11.25">
      <c r="A317" s="30" t="s">
        <v>340</v>
      </c>
      <c r="B317" s="31">
        <v>15.992760647978876</v>
      </c>
      <c r="C317" s="41">
        <f>$B317-$B316</f>
        <v>-0.848493853628856</v>
      </c>
      <c r="D317" s="42">
        <f>$C317/$B316</f>
        <v>-0.050381867547210066</v>
      </c>
      <c r="E317" s="34">
        <f>(B317-$B$3)/$B$3</f>
        <v>0.5790941920537277</v>
      </c>
      <c r="F317" s="5">
        <v>667.33</v>
      </c>
      <c r="G317" s="43">
        <f>$F317-$F316</f>
        <v>-31.569999999999936</v>
      </c>
      <c r="H317" s="42">
        <f>$G317/$F316</f>
        <v>-0.04517098297324358</v>
      </c>
      <c r="I317" s="34">
        <f>(F317-$F$3)/$F$3</f>
        <v>0.9383350761008484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2003-08-11T15:01:25Z</cp:lastPrinted>
  <dcterms:created xsi:type="dcterms:W3CDTF">2002-10-20T17:23:22Z</dcterms:created>
  <dcterms:modified xsi:type="dcterms:W3CDTF">2004-02-02T16:26:02Z</dcterms:modified>
  <cp:category/>
  <cp:version/>
  <cp:contentType/>
  <cp:contentStatus/>
</cp:coreProperties>
</file>