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91" windowWidth="12000" windowHeight="6870" tabRatio="863" activeTab="3"/>
  </bookViews>
  <sheets>
    <sheet name="Transaction" sheetId="1" r:id="rId1"/>
    <sheet name="1D-4D" sheetId="2" r:id="rId2"/>
    <sheet name="8D-12D" sheetId="3" r:id="rId3"/>
    <sheet name="Performance" sheetId="4" r:id="rId4"/>
    <sheet name="Return" sheetId="5" r:id="rId5"/>
    <sheet name="HOLDER" sheetId="6" r:id="rId6"/>
  </sheets>
  <definedNames/>
  <calcPr fullCalcOnLoad="1"/>
</workbook>
</file>

<file path=xl/sharedStrings.xml><?xml version="1.0" encoding="utf-8"?>
<sst xmlns="http://schemas.openxmlformats.org/spreadsheetml/2006/main" count="702" uniqueCount="125">
  <si>
    <t>DATE</t>
  </si>
  <si>
    <t>TRANSACTION</t>
  </si>
  <si>
    <t>NAME</t>
  </si>
  <si>
    <t>QUANTITY</t>
  </si>
  <si>
    <t>PRICE</t>
  </si>
  <si>
    <t>COM</t>
  </si>
  <si>
    <t>VAT</t>
  </si>
  <si>
    <t>AMOUNT</t>
  </si>
  <si>
    <t>MK PRICE</t>
  </si>
  <si>
    <t>% OF NAV</t>
  </si>
  <si>
    <t>NET BUY</t>
  </si>
  <si>
    <t>NAV</t>
  </si>
  <si>
    <t>PERFORMANCE</t>
  </si>
  <si>
    <t>CHANGE</t>
  </si>
  <si>
    <t>PERCENT</t>
  </si>
  <si>
    <t>SET</t>
  </si>
  <si>
    <t>TOTAL MARKET VALUE</t>
  </si>
  <si>
    <t>NET SELL</t>
  </si>
  <si>
    <t>DAY</t>
  </si>
  <si>
    <t>B</t>
  </si>
  <si>
    <t>UR P/L</t>
  </si>
  <si>
    <t>BEGINING CASH</t>
  </si>
  <si>
    <t>AVAILABLE ENDING CASH</t>
  </si>
  <si>
    <t>PORTFOLIO STATUS</t>
  </si>
  <si>
    <r>
      <t>"</t>
    </r>
    <r>
      <rPr>
        <b/>
        <sz val="8"/>
        <color indexed="9"/>
        <rFont val="Arial"/>
        <family val="2"/>
      </rPr>
      <t>B/S</t>
    </r>
    <r>
      <rPr>
        <b/>
        <sz val="8"/>
        <color indexed="18"/>
        <rFont val="Arial"/>
        <family val="2"/>
      </rPr>
      <t>"</t>
    </r>
  </si>
  <si>
    <t>REALIZE P/L</t>
  </si>
  <si>
    <t>LALIN</t>
  </si>
  <si>
    <t>THU</t>
  </si>
  <si>
    <t>ESTAR-W1</t>
  </si>
  <si>
    <t>24/9</t>
  </si>
  <si>
    <t>25/9</t>
  </si>
  <si>
    <t>FRI</t>
  </si>
  <si>
    <t>S</t>
  </si>
  <si>
    <t>26/9</t>
  </si>
  <si>
    <t>MON</t>
  </si>
  <si>
    <t>29/9</t>
  </si>
  <si>
    <t>TUE</t>
  </si>
  <si>
    <t>MK</t>
  </si>
  <si>
    <t>CI</t>
  </si>
  <si>
    <t>30/9</t>
  </si>
  <si>
    <t>WED</t>
  </si>
  <si>
    <t>SICCO-W3</t>
  </si>
  <si>
    <t>1/10</t>
  </si>
  <si>
    <t>2/10</t>
  </si>
  <si>
    <t>3/10</t>
  </si>
  <si>
    <t>6/10</t>
  </si>
  <si>
    <t>7/10</t>
  </si>
  <si>
    <t>8/10</t>
  </si>
  <si>
    <t>9/10</t>
  </si>
  <si>
    <t>10/10</t>
  </si>
  <si>
    <t>SUBSCRIPTION</t>
  </si>
  <si>
    <t>REDEMPTION</t>
  </si>
  <si>
    <t>BEG. ISSUED UNIT</t>
  </si>
  <si>
    <t>UNITS IN REDEMPTION</t>
  </si>
  <si>
    <t>@</t>
  </si>
  <si>
    <t>UNITS IN SUBCRIPTION</t>
  </si>
  <si>
    <t>REMAINDER ISSUED UNIT</t>
  </si>
  <si>
    <t>NAV / UNIT</t>
  </si>
  <si>
    <t>COST</t>
  </si>
  <si>
    <t>VOL</t>
  </si>
  <si>
    <t>RETURN</t>
  </si>
  <si>
    <t>MK VAL</t>
  </si>
  <si>
    <t>13/10</t>
  </si>
  <si>
    <t>14/10</t>
  </si>
  <si>
    <t>15/10</t>
  </si>
  <si>
    <t>JES</t>
  </si>
  <si>
    <t>UNITS</t>
  </si>
  <si>
    <t>LIST OF UNITS HOLDER</t>
  </si>
  <si>
    <t>CHOKE</t>
  </si>
  <si>
    <t>BALL</t>
  </si>
  <si>
    <t>TCP</t>
  </si>
  <si>
    <t>SAMART</t>
  </si>
  <si>
    <t>16/10</t>
  </si>
  <si>
    <t>ESTAR</t>
  </si>
  <si>
    <t>17/10</t>
  </si>
  <si>
    <t>PROFIT / LOSS</t>
  </si>
  <si>
    <t>RCI</t>
  </si>
  <si>
    <t>20/10</t>
  </si>
  <si>
    <t>ITV</t>
  </si>
  <si>
    <t>SICCO-W2</t>
  </si>
  <si>
    <t>21/10</t>
  </si>
  <si>
    <t>SAMTEL</t>
  </si>
  <si>
    <t>22/10</t>
  </si>
  <si>
    <t>24/10</t>
  </si>
  <si>
    <t>27/10</t>
  </si>
  <si>
    <t>28/10</t>
  </si>
  <si>
    <t>29/10</t>
  </si>
  <si>
    <t>PAF</t>
  </si>
  <si>
    <t>SUC</t>
  </si>
  <si>
    <t>30/10</t>
  </si>
  <si>
    <t>31/10</t>
  </si>
  <si>
    <t>GENCO</t>
  </si>
  <si>
    <t>KTP</t>
  </si>
  <si>
    <t>3/11</t>
  </si>
  <si>
    <t>4/11</t>
  </si>
  <si>
    <t>5/11</t>
  </si>
  <si>
    <t>6/11</t>
  </si>
  <si>
    <t>ASL</t>
  </si>
  <si>
    <t>7/11</t>
  </si>
  <si>
    <t>10/11</t>
  </si>
  <si>
    <t>11/11</t>
  </si>
  <si>
    <t>LPN</t>
  </si>
  <si>
    <t>12/11</t>
  </si>
  <si>
    <t>TFI</t>
  </si>
  <si>
    <t>13/11</t>
  </si>
  <si>
    <t>14/11</t>
  </si>
  <si>
    <t>17/11</t>
  </si>
  <si>
    <t>18/11</t>
  </si>
  <si>
    <t>UV</t>
  </si>
  <si>
    <t>19/11</t>
  </si>
  <si>
    <t>20/11</t>
  </si>
  <si>
    <t>21/11</t>
  </si>
  <si>
    <t>24/11</t>
  </si>
  <si>
    <t>25/11</t>
  </si>
  <si>
    <t>26/11</t>
  </si>
  <si>
    <t>27/11</t>
  </si>
  <si>
    <t>28/11</t>
  </si>
  <si>
    <t>1/12</t>
  </si>
  <si>
    <t>2/12</t>
  </si>
  <si>
    <t>3/12</t>
  </si>
  <si>
    <t>4/12</t>
  </si>
  <si>
    <t>KBANK</t>
  </si>
  <si>
    <t>8/12</t>
  </si>
  <si>
    <t>9/12</t>
  </si>
  <si>
    <t>12/12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</si>
</sst>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_-* #,##0.0_-;\-* #,##0.0_-;_-* &quot;-&quot;??_-;_-@_-"/>
    <numFmt numFmtId="210" formatCode="_-* #,##0_-;\-* #,##0_-;_-* &quot;-&quot;??_-;_-@_-"/>
    <numFmt numFmtId="211" formatCode="0.0%"/>
    <numFmt numFmtId="212" formatCode="_-* #,##0.000_-;\-* #,##0.000_-;_-* &quot;-&quot;??_-;_-@_-"/>
    <numFmt numFmtId="213" formatCode="_-* #,##0.0000_-;\-* #,##0.0000_-;_-* &quot;-&quot;??_-;_-@_-"/>
    <numFmt numFmtId="214" formatCode="_-* #,##0.00000_-;\-* #,##0.00000_-;_-* &quot;-&quot;??_-;_-@_-"/>
    <numFmt numFmtId="215" formatCode="m/d"/>
    <numFmt numFmtId="216" formatCode="00000"/>
    <numFmt numFmtId="217" formatCode="_-* #,##0.000_-;\-* #,##0.000_-;_-* &quot;-&quot;???_-;_-@_-"/>
    <numFmt numFmtId="218" formatCode="_-* #,##0.0000_-;\-* #,##0.0000_-;_-* &quot;-&quot;????_-;_-@_-"/>
    <numFmt numFmtId="219" formatCode="0.00000"/>
    <numFmt numFmtId="220" formatCode="0.0000"/>
    <numFmt numFmtId="221" formatCode="0.000"/>
    <numFmt numFmtId="222" formatCode="_-* #,##0.000000000000_-;\-* #,##0.000000000000_-;_-* &quot;-&quot;????????????_-;_-@_-"/>
    <numFmt numFmtId="223" formatCode="_-* #,##0.00000000000_-;\-* #,##0.00000000000_-;_-* &quot;-&quot;???????????_-;_-@_-"/>
    <numFmt numFmtId="224" formatCode="d\-mmm\-yyyy"/>
    <numFmt numFmtId="225" formatCode="0.0"/>
    <numFmt numFmtId="226" formatCode="#,##0.0"/>
    <numFmt numFmtId="227" formatCode="&quot;$&quot;#,##0"/>
    <numFmt numFmtId="228" formatCode="0.0000000"/>
    <numFmt numFmtId="229" formatCode="0.000000"/>
    <numFmt numFmtId="230" formatCode="#,##0.000"/>
    <numFmt numFmtId="231" formatCode="#,##0.0000"/>
  </numFmts>
  <fonts count="29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8.75"/>
      <name val="Cordia New"/>
      <family val="2"/>
    </font>
    <font>
      <b/>
      <sz val="8.25"/>
      <name val="Cordia New"/>
      <family val="2"/>
    </font>
    <font>
      <sz val="24.25"/>
      <name val="Cordia New"/>
      <family val="0"/>
    </font>
    <font>
      <sz val="20.25"/>
      <name val="Cordia New"/>
      <family val="0"/>
    </font>
    <font>
      <sz val="12.75"/>
      <name val="Cordia New"/>
      <family val="2"/>
    </font>
    <font>
      <b/>
      <sz val="24"/>
      <name val="Cordia New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8"/>
      <color indexed="18"/>
      <name val="Arial"/>
      <family val="2"/>
    </font>
    <font>
      <sz val="8"/>
      <color indexed="12"/>
      <name val="Arial"/>
      <family val="2"/>
    </font>
    <font>
      <u val="single"/>
      <sz val="8"/>
      <color indexed="9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u val="single"/>
      <sz val="12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210" fontId="11" fillId="0" borderId="0" xfId="15" applyNumberFormat="1" applyFont="1" applyBorder="1" applyAlignment="1">
      <alignment horizontal="center"/>
    </xf>
    <xf numFmtId="43" fontId="11" fillId="0" borderId="0" xfId="15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10" fontId="11" fillId="0" borderId="1" xfId="15" applyNumberFormat="1" applyFont="1" applyBorder="1" applyAlignment="1">
      <alignment horizontal="center"/>
    </xf>
    <xf numFmtId="43" fontId="11" fillId="0" borderId="1" xfId="15" applyFont="1" applyBorder="1" applyAlignment="1">
      <alignment horizontal="center"/>
    </xf>
    <xf numFmtId="43" fontId="11" fillId="0" borderId="0" xfId="0" applyNumberFormat="1" applyFont="1" applyAlignment="1">
      <alignment horizontal="center"/>
    </xf>
    <xf numFmtId="43" fontId="11" fillId="2" borderId="1" xfId="15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3" fontId="9" fillId="3" borderId="1" xfId="15" applyFont="1" applyFill="1" applyBorder="1" applyAlignment="1">
      <alignment horizontal="center"/>
    </xf>
    <xf numFmtId="15" fontId="11" fillId="0" borderId="0" xfId="0" applyNumberFormat="1" applyFont="1" applyBorder="1" applyAlignment="1">
      <alignment horizontal="center"/>
    </xf>
    <xf numFmtId="43" fontId="11" fillId="0" borderId="0" xfId="15" applyFont="1" applyAlignment="1">
      <alignment horizontal="center"/>
    </xf>
    <xf numFmtId="3" fontId="11" fillId="0" borderId="0" xfId="15" applyNumberFormat="1" applyFont="1" applyBorder="1" applyAlignment="1">
      <alignment horizontal="center"/>
    </xf>
    <xf numFmtId="3" fontId="11" fillId="0" borderId="1" xfId="15" applyNumberFormat="1" applyFont="1" applyBorder="1" applyAlignment="1">
      <alignment horizontal="center"/>
    </xf>
    <xf numFmtId="49" fontId="13" fillId="4" borderId="3" xfId="0" applyNumberFormat="1" applyFont="1" applyFill="1" applyBorder="1" applyAlignment="1">
      <alignment horizontal="center"/>
    </xf>
    <xf numFmtId="10" fontId="13" fillId="5" borderId="4" xfId="0" applyNumberFormat="1" applyFont="1" applyFill="1" applyBorder="1" applyAlignment="1">
      <alignment horizontal="center"/>
    </xf>
    <xf numFmtId="43" fontId="13" fillId="6" borderId="5" xfId="15" applyFont="1" applyFill="1" applyBorder="1" applyAlignment="1">
      <alignment horizontal="center"/>
    </xf>
    <xf numFmtId="43" fontId="13" fillId="6" borderId="4" xfId="15" applyFont="1" applyFill="1" applyBorder="1" applyAlignment="1">
      <alignment horizontal="center"/>
    </xf>
    <xf numFmtId="10" fontId="13" fillId="6" borderId="4" xfId="0" applyNumberFormat="1" applyFont="1" applyFill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3" fontId="11" fillId="0" borderId="0" xfId="15" applyNumberFormat="1" applyFont="1" applyAlignment="1">
      <alignment horizontal="center"/>
    </xf>
    <xf numFmtId="10" fontId="11" fillId="0" borderId="0" xfId="15" applyNumberFormat="1" applyFont="1" applyBorder="1" applyAlignment="1">
      <alignment horizontal="center"/>
    </xf>
    <xf numFmtId="10" fontId="11" fillId="0" borderId="6" xfId="15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3" fontId="11" fillId="0" borderId="0" xfId="15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3" fontId="11" fillId="0" borderId="0" xfId="0" applyNumberFormat="1" applyFont="1" applyFill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43" fontId="11" fillId="0" borderId="0" xfId="15" applyFont="1" applyFill="1" applyAlignment="1">
      <alignment horizontal="center"/>
    </xf>
    <xf numFmtId="10" fontId="11" fillId="0" borderId="6" xfId="0" applyNumberFormat="1" applyFont="1" applyBorder="1" applyAlignment="1">
      <alignment horizontal="center"/>
    </xf>
    <xf numFmtId="0" fontId="13" fillId="7" borderId="0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210" fontId="13" fillId="8" borderId="0" xfId="15" applyNumberFormat="1" applyFont="1" applyFill="1" applyAlignment="1">
      <alignment horizontal="center" vertical="center"/>
    </xf>
    <xf numFmtId="43" fontId="13" fillId="8" borderId="0" xfId="15" applyNumberFormat="1" applyFont="1" applyFill="1" applyAlignment="1">
      <alignment horizontal="center" vertical="center"/>
    </xf>
    <xf numFmtId="43" fontId="13" fillId="8" borderId="0" xfId="15" applyFont="1" applyFill="1" applyAlignment="1">
      <alignment horizontal="center" vertical="center"/>
    </xf>
    <xf numFmtId="10" fontId="13" fillId="8" borderId="0" xfId="0" applyNumberFormat="1" applyFont="1" applyFill="1" applyAlignment="1">
      <alignment horizontal="center" vertical="center"/>
    </xf>
    <xf numFmtId="43" fontId="13" fillId="7" borderId="0" xfId="15" applyFont="1" applyFill="1" applyAlignment="1">
      <alignment horizontal="center" vertical="center"/>
    </xf>
    <xf numFmtId="10" fontId="13" fillId="7" borderId="0" xfId="0" applyNumberFormat="1" applyFont="1" applyFill="1" applyAlignment="1">
      <alignment horizontal="center" vertical="center"/>
    </xf>
    <xf numFmtId="0" fontId="13" fillId="8" borderId="0" xfId="0" applyFont="1" applyFill="1" applyAlignment="1">
      <alignment vertical="center"/>
    </xf>
    <xf numFmtId="10" fontId="13" fillId="9" borderId="0" xfId="0" applyNumberFormat="1" applyFont="1" applyFill="1" applyAlignment="1">
      <alignment horizontal="center" vertical="center"/>
    </xf>
    <xf numFmtId="16" fontId="13" fillId="10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43" fontId="11" fillId="4" borderId="0" xfId="15" applyFont="1" applyFill="1" applyAlignment="1">
      <alignment horizontal="center" vertical="center"/>
    </xf>
    <xf numFmtId="43" fontId="11" fillId="4" borderId="0" xfId="15" applyFont="1" applyFill="1" applyBorder="1" applyAlignment="1">
      <alignment horizontal="center"/>
    </xf>
    <xf numFmtId="43" fontId="9" fillId="4" borderId="0" xfId="15" applyFont="1" applyFill="1" applyBorder="1" applyAlignment="1">
      <alignment horizontal="center"/>
    </xf>
    <xf numFmtId="43" fontId="12" fillId="4" borderId="0" xfId="15" applyFont="1" applyFill="1" applyBorder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210" fontId="11" fillId="4" borderId="0" xfId="15" applyNumberFormat="1" applyFont="1" applyFill="1" applyBorder="1" applyAlignment="1">
      <alignment horizontal="center"/>
    </xf>
    <xf numFmtId="43" fontId="11" fillId="0" borderId="0" xfId="15" applyNumberFormat="1" applyFont="1" applyBorder="1" applyAlignment="1">
      <alignment horizontal="center"/>
    </xf>
    <xf numFmtId="43" fontId="11" fillId="0" borderId="0" xfId="15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3" fontId="9" fillId="3" borderId="1" xfId="15" applyNumberFormat="1" applyFont="1" applyFill="1" applyBorder="1" applyAlignment="1">
      <alignment horizontal="center"/>
    </xf>
    <xf numFmtId="43" fontId="13" fillId="9" borderId="0" xfId="15" applyFont="1" applyFill="1" applyAlignment="1">
      <alignment horizontal="center" vertical="center"/>
    </xf>
    <xf numFmtId="0" fontId="10" fillId="0" borderId="0" xfId="0" applyFont="1" applyBorder="1" applyAlignment="1">
      <alignment horizontal="center"/>
    </xf>
    <xf numFmtId="210" fontId="10" fillId="0" borderId="0" xfId="15" applyNumberFormat="1" applyFont="1" applyBorder="1" applyAlignment="1">
      <alignment horizontal="center"/>
    </xf>
    <xf numFmtId="3" fontId="10" fillId="0" borderId="0" xfId="15" applyNumberFormat="1" applyFont="1" applyBorder="1" applyAlignment="1">
      <alignment horizontal="center"/>
    </xf>
    <xf numFmtId="43" fontId="10" fillId="0" borderId="0" xfId="15" applyFont="1" applyBorder="1" applyAlignment="1">
      <alignment horizontal="center"/>
    </xf>
    <xf numFmtId="43" fontId="10" fillId="0" borderId="0" xfId="15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43" fontId="16" fillId="0" borderId="0" xfId="0" applyNumberFormat="1" applyFont="1" applyAlignment="1">
      <alignment horizontal="center"/>
    </xf>
    <xf numFmtId="43" fontId="11" fillId="11" borderId="1" xfId="15" applyFont="1" applyFill="1" applyBorder="1" applyAlignment="1">
      <alignment horizontal="center"/>
    </xf>
    <xf numFmtId="15" fontId="9" fillId="3" borderId="1" xfId="0" applyNumberFormat="1" applyFont="1" applyFill="1" applyBorder="1" applyAlignment="1">
      <alignment horizontal="center"/>
    </xf>
    <xf numFmtId="15" fontId="11" fillId="0" borderId="1" xfId="0" applyNumberFormat="1" applyFont="1" applyBorder="1" applyAlignment="1">
      <alignment horizontal="center"/>
    </xf>
    <xf numFmtId="43" fontId="10" fillId="0" borderId="0" xfId="15" applyFont="1" applyAlignment="1">
      <alignment horizontal="center"/>
    </xf>
    <xf numFmtId="0" fontId="13" fillId="4" borderId="0" xfId="0" applyFont="1" applyFill="1" applyAlignment="1">
      <alignment horizontal="center"/>
    </xf>
    <xf numFmtId="0" fontId="13" fillId="8" borderId="0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213" fontId="13" fillId="4" borderId="0" xfId="0" applyNumberFormat="1" applyFont="1" applyFill="1" applyAlignment="1">
      <alignment horizontal="center" vertical="center"/>
    </xf>
    <xf numFmtId="210" fontId="13" fillId="8" borderId="0" xfId="15" applyNumberFormat="1" applyFont="1" applyFill="1" applyAlignment="1">
      <alignment horizontal="center"/>
    </xf>
    <xf numFmtId="0" fontId="13" fillId="8" borderId="0" xfId="0" applyFont="1" applyFill="1" applyBorder="1" applyAlignment="1" quotePrefix="1">
      <alignment horizontal="center" vertical="center"/>
    </xf>
    <xf numFmtId="0" fontId="13" fillId="7" borderId="0" xfId="0" applyFont="1" applyFill="1" applyAlignment="1">
      <alignment horizontal="left"/>
    </xf>
    <xf numFmtId="0" fontId="13" fillId="7" borderId="0" xfId="0" applyFont="1" applyFill="1" applyAlignment="1">
      <alignment horizontal="center"/>
    </xf>
    <xf numFmtId="210" fontId="13" fillId="7" borderId="0" xfId="15" applyNumberFormat="1" applyFont="1" applyFill="1" applyAlignment="1">
      <alignment horizontal="center"/>
    </xf>
    <xf numFmtId="213" fontId="17" fillId="9" borderId="0" xfId="15" applyNumberFormat="1" applyFont="1" applyFill="1" applyAlignment="1">
      <alignment horizontal="center"/>
    </xf>
    <xf numFmtId="43" fontId="11" fillId="4" borderId="0" xfId="0" applyNumberFormat="1" applyFont="1" applyFill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3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0" fontId="11" fillId="0" borderId="7" xfId="15" applyNumberFormat="1" applyFont="1" applyBorder="1" applyAlignment="1">
      <alignment horizontal="center"/>
    </xf>
    <xf numFmtId="43" fontId="11" fillId="0" borderId="8" xfId="15" applyFont="1" applyFill="1" applyBorder="1" applyAlignment="1">
      <alignment horizontal="center"/>
    </xf>
    <xf numFmtId="43" fontId="11" fillId="0" borderId="8" xfId="15" applyFont="1" applyBorder="1" applyAlignment="1">
      <alignment horizontal="center"/>
    </xf>
    <xf numFmtId="0" fontId="18" fillId="4" borderId="0" xfId="0" applyFont="1" applyFill="1" applyBorder="1" applyAlignment="1">
      <alignment horizontal="right"/>
    </xf>
    <xf numFmtId="43" fontId="13" fillId="12" borderId="4" xfId="15" applyNumberFormat="1" applyFont="1" applyFill="1" applyBorder="1" applyAlignment="1">
      <alignment horizontal="center"/>
    </xf>
    <xf numFmtId="213" fontId="11" fillId="0" borderId="0" xfId="15" applyNumberFormat="1" applyFont="1" applyBorder="1" applyAlignment="1">
      <alignment horizontal="center"/>
    </xf>
    <xf numFmtId="213" fontId="13" fillId="5" borderId="4" xfId="15" applyNumberFormat="1" applyFont="1" applyFill="1" applyBorder="1" applyAlignment="1">
      <alignment horizontal="center"/>
    </xf>
    <xf numFmtId="213" fontId="11" fillId="0" borderId="0" xfId="15" applyNumberFormat="1" applyFont="1" applyFill="1" applyBorder="1" applyAlignment="1">
      <alignment horizontal="center"/>
    </xf>
    <xf numFmtId="213" fontId="13" fillId="8" borderId="0" xfId="15" applyNumberFormat="1" applyFont="1" applyFill="1" applyBorder="1" applyAlignment="1">
      <alignment vertical="center"/>
    </xf>
    <xf numFmtId="43" fontId="19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3" fontId="20" fillId="0" borderId="0" xfId="15" applyNumberFormat="1" applyFont="1" applyFill="1" applyBorder="1" applyAlignment="1">
      <alignment horizontal="center"/>
    </xf>
    <xf numFmtId="231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13" borderId="0" xfId="0" applyFont="1" applyFill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43" fontId="13" fillId="12" borderId="11" xfId="15" applyFont="1" applyFill="1" applyBorder="1" applyAlignment="1">
      <alignment horizontal="center"/>
    </xf>
    <xf numFmtId="213" fontId="11" fillId="0" borderId="0" xfId="0" applyNumberFormat="1" applyFont="1" applyFill="1" applyAlignment="1">
      <alignment horizontal="center"/>
    </xf>
    <xf numFmtId="213" fontId="11" fillId="0" borderId="0" xfId="0" applyNumberFormat="1" applyFont="1" applyAlignment="1">
      <alignment horizontal="center"/>
    </xf>
    <xf numFmtId="220" fontId="22" fillId="13" borderId="0" xfId="0" applyNumberFormat="1" applyFont="1" applyFill="1" applyAlignment="1">
      <alignment horizontal="center"/>
    </xf>
    <xf numFmtId="0" fontId="23" fillId="14" borderId="12" xfId="0" applyFont="1" applyFill="1" applyBorder="1" applyAlignment="1">
      <alignment horizontal="center"/>
    </xf>
    <xf numFmtId="16" fontId="23" fillId="14" borderId="13" xfId="0" applyNumberFormat="1" applyFont="1" applyFill="1" applyBorder="1" applyAlignment="1">
      <alignment horizontal="center"/>
    </xf>
    <xf numFmtId="3" fontId="23" fillId="14" borderId="6" xfId="15" applyNumberFormat="1" applyFont="1" applyFill="1" applyBorder="1" applyAlignment="1">
      <alignment horizontal="center"/>
    </xf>
    <xf numFmtId="231" fontId="23" fillId="14" borderId="13" xfId="0" applyNumberFormat="1" applyFont="1" applyFill="1" applyBorder="1" applyAlignment="1">
      <alignment horizontal="center"/>
    </xf>
    <xf numFmtId="0" fontId="23" fillId="14" borderId="14" xfId="0" applyFont="1" applyFill="1" applyBorder="1" applyAlignment="1">
      <alignment horizontal="center"/>
    </xf>
    <xf numFmtId="0" fontId="23" fillId="14" borderId="15" xfId="0" applyFont="1" applyFill="1" applyBorder="1" applyAlignment="1">
      <alignment horizontal="center"/>
    </xf>
    <xf numFmtId="231" fontId="23" fillId="14" borderId="15" xfId="0" applyNumberFormat="1" applyFont="1" applyFill="1" applyBorder="1" applyAlignment="1">
      <alignment horizontal="center"/>
    </xf>
    <xf numFmtId="16" fontId="23" fillId="15" borderId="16" xfId="0" applyNumberFormat="1" applyFont="1" applyFill="1" applyBorder="1" applyAlignment="1">
      <alignment horizontal="center"/>
    </xf>
    <xf numFmtId="231" fontId="23" fillId="15" borderId="16" xfId="0" applyNumberFormat="1" applyFont="1" applyFill="1" applyBorder="1" applyAlignment="1">
      <alignment horizontal="center"/>
    </xf>
    <xf numFmtId="0" fontId="24" fillId="14" borderId="12" xfId="0" applyFont="1" applyFill="1" applyBorder="1" applyAlignment="1">
      <alignment horizontal="center"/>
    </xf>
    <xf numFmtId="0" fontId="24" fillId="15" borderId="17" xfId="0" applyFont="1" applyFill="1" applyBorder="1" applyAlignment="1">
      <alignment horizontal="center"/>
    </xf>
    <xf numFmtId="3" fontId="25" fillId="14" borderId="18" xfId="15" applyNumberFormat="1" applyFont="1" applyFill="1" applyBorder="1" applyAlignment="1">
      <alignment horizontal="center"/>
    </xf>
    <xf numFmtId="3" fontId="25" fillId="15" borderId="19" xfId="15" applyNumberFormat="1" applyFont="1" applyFill="1" applyBorder="1" applyAlignment="1">
      <alignment horizontal="center"/>
    </xf>
    <xf numFmtId="4" fontId="26" fillId="14" borderId="20" xfId="0" applyNumberFormat="1" applyFont="1" applyFill="1" applyBorder="1" applyAlignment="1">
      <alignment horizontal="center"/>
    </xf>
    <xf numFmtId="0" fontId="24" fillId="16" borderId="12" xfId="0" applyFont="1" applyFill="1" applyBorder="1" applyAlignment="1">
      <alignment horizontal="center"/>
    </xf>
    <xf numFmtId="16" fontId="23" fillId="16" borderId="13" xfId="0" applyNumberFormat="1" applyFont="1" applyFill="1" applyBorder="1" applyAlignment="1">
      <alignment horizontal="center"/>
    </xf>
    <xf numFmtId="3" fontId="23" fillId="16" borderId="6" xfId="15" applyNumberFormat="1" applyFont="1" applyFill="1" applyBorder="1" applyAlignment="1">
      <alignment horizontal="center"/>
    </xf>
    <xf numFmtId="231" fontId="23" fillId="16" borderId="13" xfId="0" applyNumberFormat="1" applyFont="1" applyFill="1" applyBorder="1" applyAlignment="1">
      <alignment horizontal="center"/>
    </xf>
    <xf numFmtId="4" fontId="26" fillId="16" borderId="20" xfId="0" applyNumberFormat="1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3" fillId="16" borderId="14" xfId="0" applyFont="1" applyFill="1" applyBorder="1" applyAlignment="1">
      <alignment horizontal="center"/>
    </xf>
    <xf numFmtId="0" fontId="23" fillId="16" borderId="15" xfId="0" applyFont="1" applyFill="1" applyBorder="1" applyAlignment="1">
      <alignment horizontal="center"/>
    </xf>
    <xf numFmtId="3" fontId="25" fillId="16" borderId="18" xfId="15" applyNumberFormat="1" applyFont="1" applyFill="1" applyBorder="1" applyAlignment="1">
      <alignment horizontal="center"/>
    </xf>
    <xf numFmtId="231" fontId="23" fillId="16" borderId="15" xfId="0" applyNumberFormat="1" applyFont="1" applyFill="1" applyBorder="1" applyAlignment="1">
      <alignment horizontal="center"/>
    </xf>
    <xf numFmtId="4" fontId="27" fillId="14" borderId="20" xfId="0" applyNumberFormat="1" applyFont="1" applyFill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" fontId="28" fillId="14" borderId="21" xfId="0" applyNumberFormat="1" applyFont="1" applyFill="1" applyBorder="1" applyAlignment="1">
      <alignment horizontal="center"/>
    </xf>
    <xf numFmtId="4" fontId="28" fillId="15" borderId="5" xfId="0" applyNumberFormat="1" applyFont="1" applyFill="1" applyBorder="1" applyAlignment="1">
      <alignment horizontal="center"/>
    </xf>
    <xf numFmtId="4" fontId="28" fillId="16" borderId="21" xfId="0" applyNumberFormat="1" applyFont="1" applyFill="1" applyBorder="1" applyAlignment="1">
      <alignment horizontal="center"/>
    </xf>
    <xf numFmtId="4" fontId="27" fillId="16" borderId="20" xfId="0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15" fontId="11" fillId="0" borderId="22" xfId="0" applyNumberFormat="1" applyFont="1" applyBorder="1" applyAlignment="1">
      <alignment horizontal="center"/>
    </xf>
    <xf numFmtId="210" fontId="11" fillId="0" borderId="22" xfId="15" applyNumberFormat="1" applyFont="1" applyBorder="1" applyAlignment="1">
      <alignment horizontal="center"/>
    </xf>
    <xf numFmtId="3" fontId="11" fillId="0" borderId="22" xfId="15" applyNumberFormat="1" applyFont="1" applyBorder="1" applyAlignment="1">
      <alignment horizontal="center"/>
    </xf>
    <xf numFmtId="43" fontId="11" fillId="0" borderId="22" xfId="15" applyFont="1" applyBorder="1" applyAlignment="1">
      <alignment horizontal="center"/>
    </xf>
    <xf numFmtId="43" fontId="11" fillId="11" borderId="22" xfId="15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left" vertical="center"/>
    </xf>
    <xf numFmtId="0" fontId="13" fillId="9" borderId="0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13" fillId="9" borderId="0" xfId="0" applyFont="1" applyFill="1" applyBorder="1" applyAlignment="1">
      <alignment vertical="center"/>
    </xf>
    <xf numFmtId="15" fontId="18" fillId="4" borderId="0" xfId="15" applyNumberFormat="1" applyFont="1" applyFill="1" applyBorder="1" applyAlignment="1">
      <alignment horizontal="left"/>
    </xf>
    <xf numFmtId="0" fontId="14" fillId="7" borderId="8" xfId="0" applyFont="1" applyFill="1" applyBorder="1" applyAlignment="1">
      <alignment horizontal="center" vertical="center"/>
    </xf>
    <xf numFmtId="0" fontId="13" fillId="8" borderId="0" xfId="0" applyFont="1" applyFill="1" applyAlignment="1">
      <alignment vertical="center"/>
    </xf>
    <xf numFmtId="0" fontId="9" fillId="4" borderId="9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43" fontId="13" fillId="5" borderId="25" xfId="15" applyNumberFormat="1" applyFont="1" applyFill="1" applyBorder="1" applyAlignment="1">
      <alignment horizontal="center"/>
    </xf>
    <xf numFmtId="43" fontId="13" fillId="5" borderId="5" xfId="15" applyNumberFormat="1" applyFont="1" applyFill="1" applyBorder="1" applyAlignment="1">
      <alignment horizontal="center"/>
    </xf>
    <xf numFmtId="43" fontId="11" fillId="0" borderId="26" xfId="15" applyNumberFormat="1" applyFont="1" applyBorder="1" applyAlignment="1">
      <alignment horizontal="center"/>
    </xf>
    <xf numFmtId="43" fontId="11" fillId="0" borderId="0" xfId="15" applyNumberFormat="1" applyFont="1" applyBorder="1" applyAlignment="1">
      <alignment horizontal="center"/>
    </xf>
    <xf numFmtId="43" fontId="11" fillId="0" borderId="26" xfId="15" applyNumberFormat="1" applyFont="1" applyFill="1" applyBorder="1" applyAlignment="1">
      <alignment horizontal="center"/>
    </xf>
    <xf numFmtId="43" fontId="11" fillId="0" borderId="0" xfId="15" applyNumberFormat="1" applyFont="1" applyFill="1" applyBorder="1" applyAlignment="1">
      <alignment horizontal="center"/>
    </xf>
    <xf numFmtId="43" fontId="11" fillId="0" borderId="27" xfId="15" applyNumberFormat="1" applyFont="1" applyFill="1" applyBorder="1" applyAlignment="1">
      <alignment horizontal="center"/>
    </xf>
    <xf numFmtId="43" fontId="11" fillId="0" borderId="8" xfId="15" applyNumberFormat="1" applyFont="1" applyFill="1" applyBorder="1" applyAlignment="1">
      <alignment horizontal="center"/>
    </xf>
    <xf numFmtId="0" fontId="20" fillId="4" borderId="25" xfId="0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Cordia New"/>
                <a:ea typeface="Cordia New"/>
                <a:cs typeface="Cordia New"/>
              </a:rPr>
              <a:t>RETURN SINCE 10/OCT/2003 : NAV vs SET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154"/>
          <c:w val="0.77875"/>
          <c:h val="0.62325"/>
        </c:manualLayout>
      </c:layout>
      <c:lineChart>
        <c:grouping val="standard"/>
        <c:varyColors val="0"/>
        <c:ser>
          <c:idx val="0"/>
          <c:order val="0"/>
          <c:tx>
            <c:v>RETURN OF NAV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Performance!$A$19:$A$79</c:f>
              <c:strCache>
                <c:ptCount val="61"/>
                <c:pt idx="0">
                  <c:v>10/10</c:v>
                </c:pt>
                <c:pt idx="1">
                  <c:v>13/10</c:v>
                </c:pt>
                <c:pt idx="2">
                  <c:v>14/10</c:v>
                </c:pt>
                <c:pt idx="3">
                  <c:v>15/10</c:v>
                </c:pt>
                <c:pt idx="4">
                  <c:v>16/10</c:v>
                </c:pt>
                <c:pt idx="5">
                  <c:v>17/10</c:v>
                </c:pt>
                <c:pt idx="6">
                  <c:v>20/10</c:v>
                </c:pt>
                <c:pt idx="7">
                  <c:v>21/10</c:v>
                </c:pt>
                <c:pt idx="8">
                  <c:v>22/10</c:v>
                </c:pt>
                <c:pt idx="9">
                  <c:v>24/10</c:v>
                </c:pt>
                <c:pt idx="10">
                  <c:v>27/10</c:v>
                </c:pt>
                <c:pt idx="11">
                  <c:v>28/10</c:v>
                </c:pt>
                <c:pt idx="12">
                  <c:v>29/10</c:v>
                </c:pt>
                <c:pt idx="13">
                  <c:v>30/10</c:v>
                </c:pt>
                <c:pt idx="14">
                  <c:v>31/10</c:v>
                </c:pt>
                <c:pt idx="15">
                  <c:v>3/11</c:v>
                </c:pt>
                <c:pt idx="16">
                  <c:v>4/11</c:v>
                </c:pt>
                <c:pt idx="17">
                  <c:v>5/11</c:v>
                </c:pt>
                <c:pt idx="18">
                  <c:v>6/11</c:v>
                </c:pt>
                <c:pt idx="19">
                  <c:v>7/11</c:v>
                </c:pt>
                <c:pt idx="20">
                  <c:v>10/11</c:v>
                </c:pt>
                <c:pt idx="21">
                  <c:v>11/11</c:v>
                </c:pt>
                <c:pt idx="22">
                  <c:v>12/11</c:v>
                </c:pt>
                <c:pt idx="23">
                  <c:v>13/11</c:v>
                </c:pt>
                <c:pt idx="24">
                  <c:v>14/11</c:v>
                </c:pt>
                <c:pt idx="25">
                  <c:v>17/11</c:v>
                </c:pt>
                <c:pt idx="26">
                  <c:v>18/11</c:v>
                </c:pt>
                <c:pt idx="27">
                  <c:v>19/11</c:v>
                </c:pt>
                <c:pt idx="28">
                  <c:v>20/11</c:v>
                </c:pt>
                <c:pt idx="29">
                  <c:v>21/11</c:v>
                </c:pt>
                <c:pt idx="30">
                  <c:v>24/11</c:v>
                </c:pt>
                <c:pt idx="31">
                  <c:v>25/11</c:v>
                </c:pt>
                <c:pt idx="32">
                  <c:v>26/11</c:v>
                </c:pt>
                <c:pt idx="33">
                  <c:v>27/11</c:v>
                </c:pt>
                <c:pt idx="34">
                  <c:v>28/11</c:v>
                </c:pt>
                <c:pt idx="35">
                  <c:v>1/12</c:v>
                </c:pt>
                <c:pt idx="36">
                  <c:v>2/12</c:v>
                </c:pt>
                <c:pt idx="37">
                  <c:v>3/12</c:v>
                </c:pt>
                <c:pt idx="38">
                  <c:v>4/12</c:v>
                </c:pt>
                <c:pt idx="39">
                  <c:v>8/12</c:v>
                </c:pt>
                <c:pt idx="40">
                  <c:v>9/12</c:v>
                </c:pt>
                <c:pt idx="41">
                  <c:v>12/12</c:v>
                </c:pt>
              </c:strCache>
            </c:strRef>
          </c:cat>
          <c:val>
            <c:numRef>
              <c:f>Performance!$F$19:$F$79</c:f>
              <c:numCache>
                <c:ptCount val="61"/>
                <c:pt idx="0">
                  <c:v>0</c:v>
                </c:pt>
                <c:pt idx="1">
                  <c:v>-0.00808794538311659</c:v>
                </c:pt>
                <c:pt idx="2">
                  <c:v>-0.01344863826339271</c:v>
                </c:pt>
                <c:pt idx="3">
                  <c:v>0.04015829053936937</c:v>
                </c:pt>
                <c:pt idx="4">
                  <c:v>0.03950805773032773</c:v>
                </c:pt>
                <c:pt idx="5">
                  <c:v>0.03938249412740351</c:v>
                </c:pt>
                <c:pt idx="6">
                  <c:v>0.03415780931893817</c:v>
                </c:pt>
                <c:pt idx="7">
                  <c:v>0.0326454220081569</c:v>
                </c:pt>
                <c:pt idx="8">
                  <c:v>0.055875625895079925</c:v>
                </c:pt>
                <c:pt idx="9">
                  <c:v>0.08349269032921872</c:v>
                </c:pt>
                <c:pt idx="10">
                  <c:v>0.09548664305255201</c:v>
                </c:pt>
                <c:pt idx="11">
                  <c:v>0.10153048671164236</c:v>
                </c:pt>
                <c:pt idx="12">
                  <c:v>0.1247365233747642</c:v>
                </c:pt>
                <c:pt idx="13">
                  <c:v>0.13263480410748638</c:v>
                </c:pt>
                <c:pt idx="14">
                  <c:v>0.15188638198484394</c:v>
                </c:pt>
                <c:pt idx="15">
                  <c:v>0.14601510354141353</c:v>
                </c:pt>
                <c:pt idx="16">
                  <c:v>0.14022492697410804</c:v>
                </c:pt>
                <c:pt idx="17">
                  <c:v>0.15550726528086828</c:v>
                </c:pt>
                <c:pt idx="18">
                  <c:v>0.13541949574222176</c:v>
                </c:pt>
                <c:pt idx="19">
                  <c:v>0.13511087349888024</c:v>
                </c:pt>
                <c:pt idx="20">
                  <c:v>0.15036910751854612</c:v>
                </c:pt>
                <c:pt idx="21">
                  <c:v>0.1291107024278066</c:v>
                </c:pt>
                <c:pt idx="22">
                  <c:v>0.16356495795254045</c:v>
                </c:pt>
                <c:pt idx="23">
                  <c:v>0.15173675530578185</c:v>
                </c:pt>
                <c:pt idx="24">
                  <c:v>0.12475477074978318</c:v>
                </c:pt>
                <c:pt idx="25">
                  <c:v>0.06744830675089108</c:v>
                </c:pt>
                <c:pt idx="26">
                  <c:v>0.08641608728728549</c:v>
                </c:pt>
                <c:pt idx="27">
                  <c:v>0.02581611499456784</c:v>
                </c:pt>
                <c:pt idx="28">
                  <c:v>0.008744745553324584</c:v>
                </c:pt>
                <c:pt idx="29">
                  <c:v>-0.007970423323183517</c:v>
                </c:pt>
                <c:pt idx="30">
                  <c:v>-0.011714747542212222</c:v>
                </c:pt>
                <c:pt idx="31">
                  <c:v>0.004874030643358118</c:v>
                </c:pt>
                <c:pt idx="32">
                  <c:v>0.050090300326312585</c:v>
                </c:pt>
                <c:pt idx="33">
                  <c:v>0.08544730617430982</c:v>
                </c:pt>
                <c:pt idx="34">
                  <c:v>0.11738876158807994</c:v>
                </c:pt>
                <c:pt idx="35">
                  <c:v>0.1259947432311174</c:v>
                </c:pt>
                <c:pt idx="36">
                  <c:v>0.13582496090541357</c:v>
                </c:pt>
                <c:pt idx="37">
                  <c:v>0.13346148658255164</c:v>
                </c:pt>
                <c:pt idx="38">
                  <c:v>0.12351902607528462</c:v>
                </c:pt>
                <c:pt idx="39">
                  <c:v>0.10954653519212432</c:v>
                </c:pt>
                <c:pt idx="40">
                  <c:v>0.09940368224437571</c:v>
                </c:pt>
                <c:pt idx="41">
                  <c:v>0.08930190627118169</c:v>
                </c:pt>
              </c:numCache>
            </c:numRef>
          </c:val>
          <c:smooth val="0"/>
        </c:ser>
        <c:ser>
          <c:idx val="1"/>
          <c:order val="1"/>
          <c:tx>
            <c:v>RETURN OF SET INDEX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Performance!$A$19:$A$79</c:f>
              <c:strCache>
                <c:ptCount val="61"/>
                <c:pt idx="0">
                  <c:v>10/10</c:v>
                </c:pt>
                <c:pt idx="1">
                  <c:v>13/10</c:v>
                </c:pt>
                <c:pt idx="2">
                  <c:v>14/10</c:v>
                </c:pt>
                <c:pt idx="3">
                  <c:v>15/10</c:v>
                </c:pt>
                <c:pt idx="4">
                  <c:v>16/10</c:v>
                </c:pt>
                <c:pt idx="5">
                  <c:v>17/10</c:v>
                </c:pt>
                <c:pt idx="6">
                  <c:v>20/10</c:v>
                </c:pt>
                <c:pt idx="7">
                  <c:v>21/10</c:v>
                </c:pt>
                <c:pt idx="8">
                  <c:v>22/10</c:v>
                </c:pt>
                <c:pt idx="9">
                  <c:v>24/10</c:v>
                </c:pt>
                <c:pt idx="10">
                  <c:v>27/10</c:v>
                </c:pt>
                <c:pt idx="11">
                  <c:v>28/10</c:v>
                </c:pt>
                <c:pt idx="12">
                  <c:v>29/10</c:v>
                </c:pt>
                <c:pt idx="13">
                  <c:v>30/10</c:v>
                </c:pt>
                <c:pt idx="14">
                  <c:v>31/10</c:v>
                </c:pt>
                <c:pt idx="15">
                  <c:v>3/11</c:v>
                </c:pt>
                <c:pt idx="16">
                  <c:v>4/11</c:v>
                </c:pt>
                <c:pt idx="17">
                  <c:v>5/11</c:v>
                </c:pt>
                <c:pt idx="18">
                  <c:v>6/11</c:v>
                </c:pt>
                <c:pt idx="19">
                  <c:v>7/11</c:v>
                </c:pt>
                <c:pt idx="20">
                  <c:v>10/11</c:v>
                </c:pt>
                <c:pt idx="21">
                  <c:v>11/11</c:v>
                </c:pt>
                <c:pt idx="22">
                  <c:v>12/11</c:v>
                </c:pt>
                <c:pt idx="23">
                  <c:v>13/11</c:v>
                </c:pt>
                <c:pt idx="24">
                  <c:v>14/11</c:v>
                </c:pt>
                <c:pt idx="25">
                  <c:v>17/11</c:v>
                </c:pt>
                <c:pt idx="26">
                  <c:v>18/11</c:v>
                </c:pt>
                <c:pt idx="27">
                  <c:v>19/11</c:v>
                </c:pt>
                <c:pt idx="28">
                  <c:v>20/11</c:v>
                </c:pt>
                <c:pt idx="29">
                  <c:v>21/11</c:v>
                </c:pt>
                <c:pt idx="30">
                  <c:v>24/11</c:v>
                </c:pt>
                <c:pt idx="31">
                  <c:v>25/11</c:v>
                </c:pt>
                <c:pt idx="32">
                  <c:v>26/11</c:v>
                </c:pt>
                <c:pt idx="33">
                  <c:v>27/11</c:v>
                </c:pt>
                <c:pt idx="34">
                  <c:v>28/11</c:v>
                </c:pt>
                <c:pt idx="35">
                  <c:v>1/12</c:v>
                </c:pt>
                <c:pt idx="36">
                  <c:v>2/12</c:v>
                </c:pt>
                <c:pt idx="37">
                  <c:v>3/12</c:v>
                </c:pt>
                <c:pt idx="38">
                  <c:v>4/12</c:v>
                </c:pt>
                <c:pt idx="39">
                  <c:v>8/12</c:v>
                </c:pt>
                <c:pt idx="40">
                  <c:v>9/12</c:v>
                </c:pt>
                <c:pt idx="41">
                  <c:v>12/12</c:v>
                </c:pt>
              </c:strCache>
            </c:strRef>
          </c:cat>
          <c:val>
            <c:numRef>
              <c:f>Performance!$J$19:$J$79</c:f>
              <c:numCache>
                <c:ptCount val="61"/>
                <c:pt idx="0">
                  <c:v>0</c:v>
                </c:pt>
                <c:pt idx="1">
                  <c:v>-0.006115262389418441</c:v>
                </c:pt>
                <c:pt idx="2">
                  <c:v>-0.02349909817057451</c:v>
                </c:pt>
                <c:pt idx="3">
                  <c:v>-0.01039251052134322</c:v>
                </c:pt>
                <c:pt idx="4">
                  <c:v>0.0025079446877953044</c:v>
                </c:pt>
                <c:pt idx="5">
                  <c:v>0.011079618654985907</c:v>
                </c:pt>
                <c:pt idx="6">
                  <c:v>0.01825989865155028</c:v>
                </c:pt>
                <c:pt idx="7">
                  <c:v>0.018672163531735817</c:v>
                </c:pt>
                <c:pt idx="8">
                  <c:v>0.038855964957485195</c:v>
                </c:pt>
                <c:pt idx="9">
                  <c:v>0.04655157605428158</c:v>
                </c:pt>
                <c:pt idx="10">
                  <c:v>0.0575968393025852</c:v>
                </c:pt>
                <c:pt idx="11">
                  <c:v>0.057098685905694425</c:v>
                </c:pt>
                <c:pt idx="12">
                  <c:v>0.07199175470239624</c:v>
                </c:pt>
                <c:pt idx="13">
                  <c:v>0.0725242635059693</c:v>
                </c:pt>
                <c:pt idx="14">
                  <c:v>0.09842824014429283</c:v>
                </c:pt>
                <c:pt idx="15">
                  <c:v>0.13365970969681365</c:v>
                </c:pt>
                <c:pt idx="16">
                  <c:v>0.14242033840075577</c:v>
                </c:pt>
                <c:pt idx="17">
                  <c:v>0.15726187408743464</c:v>
                </c:pt>
                <c:pt idx="18">
                  <c:v>0.1466804088293395</c:v>
                </c:pt>
                <c:pt idx="19">
                  <c:v>0.15262389418534747</c:v>
                </c:pt>
                <c:pt idx="20">
                  <c:v>0.14121789916688146</c:v>
                </c:pt>
                <c:pt idx="21">
                  <c:v>0.11234217985055395</c:v>
                </c:pt>
                <c:pt idx="22">
                  <c:v>0.12254573563514565</c:v>
                </c:pt>
                <c:pt idx="23">
                  <c:v>0.13055054539208108</c:v>
                </c:pt>
                <c:pt idx="24">
                  <c:v>0.12922786223481925</c:v>
                </c:pt>
                <c:pt idx="25">
                  <c:v>0.10081594090870061</c:v>
                </c:pt>
                <c:pt idx="26">
                  <c:v>0.09379026024220566</c:v>
                </c:pt>
                <c:pt idx="27">
                  <c:v>0.06335136992184144</c:v>
                </c:pt>
                <c:pt idx="28">
                  <c:v>0.05510607231813114</c:v>
                </c:pt>
                <c:pt idx="29">
                  <c:v>0.053731856050845954</c:v>
                </c:pt>
                <c:pt idx="30">
                  <c:v>0.03974920553122045</c:v>
                </c:pt>
                <c:pt idx="31">
                  <c:v>0.039302585244352824</c:v>
                </c:pt>
                <c:pt idx="32">
                  <c:v>0.08360388216095521</c:v>
                </c:pt>
                <c:pt idx="33">
                  <c:v>0.09121360474104616</c:v>
                </c:pt>
                <c:pt idx="34">
                  <c:v>0.10973116894271236</c:v>
                </c:pt>
                <c:pt idx="35">
                  <c:v>0.10134844971227347</c:v>
                </c:pt>
                <c:pt idx="36">
                  <c:v>0.11077900884651724</c:v>
                </c:pt>
                <c:pt idx="37">
                  <c:v>0.13274929141973715</c:v>
                </c:pt>
                <c:pt idx="38">
                  <c:v>0.13250880357296227</c:v>
                </c:pt>
                <c:pt idx="39">
                  <c:v>0.14121789916688146</c:v>
                </c:pt>
                <c:pt idx="40">
                  <c:v>0.14589023447565072</c:v>
                </c:pt>
                <c:pt idx="41">
                  <c:v>0.15855020183801438</c:v>
                </c:pt>
              </c:numCache>
            </c:numRef>
          </c:val>
          <c:smooth val="0"/>
        </c:ser>
        <c:marker val="1"/>
        <c:axId val="6137220"/>
        <c:axId val="55234981"/>
      </c:lineChart>
      <c:catAx>
        <c:axId val="613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Cordia New"/>
                    <a:ea typeface="Cordia New"/>
                    <a:cs typeface="Cordia New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234981"/>
        <c:crosses val="autoZero"/>
        <c:auto val="1"/>
        <c:lblOffset val="100"/>
        <c:noMultiLvlLbl val="0"/>
      </c:catAx>
      <c:valAx>
        <c:axId val="55234981"/>
        <c:scaling>
          <c:orientation val="minMax"/>
          <c:max val="0.3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Cordia New"/>
                    <a:ea typeface="Cordia New"/>
                    <a:cs typeface="Cordia New"/>
                  </a:rPr>
                  <a:t>RETURN SINCE INCEPTION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13722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45"/>
          <c:y val="0.02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workbookViewId="0" topLeftCell="A1">
      <pane xSplit="10" ySplit="2" topLeftCell="K170" activePane="bottomRight" state="frozen"/>
      <selection pane="topLeft" activeCell="A1" sqref="A1"/>
      <selection pane="topRight" activeCell="K1" sqref="K1"/>
      <selection pane="bottomLeft" activeCell="A3" sqref="A3"/>
      <selection pane="bottomRight" activeCell="L197" sqref="L197"/>
    </sheetView>
  </sheetViews>
  <sheetFormatPr defaultColWidth="9.140625" defaultRowHeight="21.75"/>
  <cols>
    <col min="1" max="1" width="6.7109375" style="3" customWidth="1"/>
    <col min="2" max="2" width="9.28125" style="14" customWidth="1"/>
    <col min="3" max="3" width="10.28125" style="3" customWidth="1"/>
    <col min="4" max="4" width="3.8515625" style="4" customWidth="1"/>
    <col min="5" max="5" width="9.57421875" style="16" customWidth="1"/>
    <col min="6" max="6" width="8.421875" style="5" customWidth="1"/>
    <col min="7" max="7" width="7.421875" style="5" customWidth="1"/>
    <col min="8" max="8" width="7.140625" style="5" customWidth="1"/>
    <col min="9" max="9" width="12.28125" style="15" customWidth="1"/>
    <col min="10" max="10" width="12.57421875" style="2" customWidth="1"/>
    <col min="11" max="16384" width="14.7109375" style="2" customWidth="1"/>
  </cols>
  <sheetData>
    <row r="1" spans="1:10" s="1" customFormat="1" ht="12" thickBot="1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s="1" customFormat="1" ht="12" thickBot="1">
      <c r="A2" s="11" t="s">
        <v>18</v>
      </c>
      <c r="B2" s="67" t="s">
        <v>0</v>
      </c>
      <c r="C2" s="12" t="s">
        <v>2</v>
      </c>
      <c r="D2" s="56" t="s">
        <v>24</v>
      </c>
      <c r="E2" s="57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25</v>
      </c>
    </row>
    <row r="3" spans="1:9" ht="11.25">
      <c r="A3" s="3" t="s">
        <v>27</v>
      </c>
      <c r="B3" s="14">
        <v>37889</v>
      </c>
      <c r="C3" s="64" t="s">
        <v>28</v>
      </c>
      <c r="D3" s="60" t="s">
        <v>19</v>
      </c>
      <c r="E3" s="61">
        <v>4000</v>
      </c>
      <c r="F3" s="62">
        <v>4.64</v>
      </c>
      <c r="G3" s="62">
        <f>(($E3*$F3)*0.0025)</f>
        <v>46.4</v>
      </c>
      <c r="H3" s="62">
        <f>$G3*0.07</f>
        <v>3.248</v>
      </c>
      <c r="I3" s="63">
        <f>IF($D3="B",(($E3*$F3)+$G3+$H3)*(-1),IF($D3="S",($E3*$F3)-$G3-$H3))</f>
        <v>-18609.648</v>
      </c>
    </row>
    <row r="4" spans="3:9" ht="11.25">
      <c r="C4" s="59" t="s">
        <v>26</v>
      </c>
      <c r="D4" s="60" t="s">
        <v>19</v>
      </c>
      <c r="E4" s="61">
        <v>500</v>
      </c>
      <c r="F4" s="62">
        <v>48.75</v>
      </c>
      <c r="G4" s="62">
        <f>(($E4*$F4)*0.0025)</f>
        <v>60.9375</v>
      </c>
      <c r="H4" s="62">
        <f>$G4*0.07</f>
        <v>4.265625</v>
      </c>
      <c r="I4" s="63">
        <f>IF($D4="B",(($E4*$F4)+$G4+$H4)*(-1),IF($D4="S",($E4*$F4)-$G4-$H4))</f>
        <v>-24440.203125</v>
      </c>
    </row>
    <row r="5" spans="1:10" ht="12" thickBot="1">
      <c r="A5" s="6"/>
      <c r="B5" s="68"/>
      <c r="C5" s="6"/>
      <c r="D5" s="7"/>
      <c r="E5" s="17"/>
      <c r="F5" s="8"/>
      <c r="G5" s="8"/>
      <c r="H5" s="10" t="s">
        <v>10</v>
      </c>
      <c r="I5" s="10">
        <f>SUM(I3:I4)</f>
        <v>-43049.851125</v>
      </c>
      <c r="J5" s="6"/>
    </row>
    <row r="6" spans="1:9" ht="11.25">
      <c r="A6" s="3" t="s">
        <v>31</v>
      </c>
      <c r="B6" s="14">
        <v>37890</v>
      </c>
      <c r="C6" s="59" t="str">
        <f>C3</f>
        <v>ESTAR-W1</v>
      </c>
      <c r="D6" s="60" t="s">
        <v>19</v>
      </c>
      <c r="E6" s="61">
        <v>1000</v>
      </c>
      <c r="F6" s="62">
        <v>4.8</v>
      </c>
      <c r="G6" s="62">
        <f>(($E6*$F6)*0.0025)</f>
        <v>12</v>
      </c>
      <c r="H6" s="62">
        <f>$G6*0.07</f>
        <v>0.8400000000000001</v>
      </c>
      <c r="I6" s="63">
        <f>IF($D6="B",(($E6*$F6)+$G6+$H6)*(-1),IF($D6="S",($E6*$F6)-$G6-$H6))</f>
        <v>-4812.84</v>
      </c>
    </row>
    <row r="7" spans="3:10" ht="11.25">
      <c r="C7" s="59" t="str">
        <f>C6</f>
        <v>ESTAR-W1</v>
      </c>
      <c r="D7" s="60" t="s">
        <v>32</v>
      </c>
      <c r="E7" s="61">
        <v>5000</v>
      </c>
      <c r="F7" s="62">
        <v>4.74</v>
      </c>
      <c r="G7" s="62">
        <f>(($E7*$F7)*0.0025)</f>
        <v>59.25</v>
      </c>
      <c r="H7" s="62">
        <f>$G7*0.07</f>
        <v>4.1475</v>
      </c>
      <c r="I7" s="63">
        <f>IF($D7="B",(($E7*$F7)+$G7+$H7)*(-1),IF($D7="S",($E7*$F7)-$G7-$H7))</f>
        <v>23636.6025</v>
      </c>
      <c r="J7" s="65">
        <f>SUM(I6:I7,I3)</f>
        <v>214.11449999999968</v>
      </c>
    </row>
    <row r="8" spans="3:9" ht="11.25">
      <c r="C8" s="59" t="str">
        <f>C4</f>
        <v>LALIN</v>
      </c>
      <c r="D8" s="60" t="s">
        <v>19</v>
      </c>
      <c r="E8" s="61">
        <v>200</v>
      </c>
      <c r="F8" s="62">
        <v>50</v>
      </c>
      <c r="G8" s="62">
        <f>(($E8*$F8)*0.0025)</f>
        <v>25</v>
      </c>
      <c r="H8" s="62">
        <f>$G8*0.07</f>
        <v>1.7500000000000002</v>
      </c>
      <c r="I8" s="69">
        <f>IF($D8="B",(($E8*$F8)+$G8+$H8)*(-1),IF($D8="S",($E8*$F8)-$G8-$H8))</f>
        <v>-10026.75</v>
      </c>
    </row>
    <row r="9" spans="3:9" ht="11.25">
      <c r="C9" s="59" t="str">
        <f>C8</f>
        <v>LALIN</v>
      </c>
      <c r="D9" s="60" t="s">
        <v>19</v>
      </c>
      <c r="E9" s="61">
        <v>100</v>
      </c>
      <c r="F9" s="62">
        <v>49.5</v>
      </c>
      <c r="G9" s="62">
        <f>(($E9*$F9)*0.0025)</f>
        <v>12.375</v>
      </c>
      <c r="H9" s="62">
        <f>$G9*0.07</f>
        <v>0.8662500000000001</v>
      </c>
      <c r="I9" s="69">
        <f>IF($D9="B",(($E9*$F9)+$G9+$H9)*(-1),IF($D9="S",($E9*$F9)-$G9-$H9))</f>
        <v>-4963.24125</v>
      </c>
    </row>
    <row r="10" spans="1:10" ht="12" thickBot="1">
      <c r="A10" s="6"/>
      <c r="B10" s="68"/>
      <c r="C10" s="6"/>
      <c r="D10" s="7"/>
      <c r="E10" s="17"/>
      <c r="F10" s="8"/>
      <c r="G10" s="8"/>
      <c r="H10" s="66" t="s">
        <v>17</v>
      </c>
      <c r="I10" s="66">
        <f>SUM(I6:I9)</f>
        <v>3833.7712500000007</v>
      </c>
      <c r="J10" s="6"/>
    </row>
    <row r="11" spans="1:9" ht="11.25">
      <c r="A11" s="3" t="s">
        <v>36</v>
      </c>
      <c r="B11" s="14">
        <v>37894</v>
      </c>
      <c r="C11" s="59" t="s">
        <v>26</v>
      </c>
      <c r="D11" s="60" t="s">
        <v>19</v>
      </c>
      <c r="E11" s="61">
        <v>100</v>
      </c>
      <c r="F11" s="62">
        <v>49</v>
      </c>
      <c r="G11" s="62">
        <f>(($E11*$F11)*0.0025)</f>
        <v>12.25</v>
      </c>
      <c r="H11" s="62">
        <f>$G11*0.07</f>
        <v>0.8575</v>
      </c>
      <c r="I11" s="69">
        <f>IF($D11="B",(($E11*$F11)+$G11+$H11)*(-1),IF($D11="S",($E11*$F11)-$G11-$H11))</f>
        <v>-4913.1075</v>
      </c>
    </row>
    <row r="12" spans="3:9" ht="11.25">
      <c r="C12" s="59" t="s">
        <v>26</v>
      </c>
      <c r="D12" s="60" t="s">
        <v>19</v>
      </c>
      <c r="E12" s="61">
        <v>100</v>
      </c>
      <c r="F12" s="62">
        <v>49.25</v>
      </c>
      <c r="G12" s="62">
        <f>(($E12*$F12)*0.0025)</f>
        <v>12.3125</v>
      </c>
      <c r="H12" s="62">
        <f>$G12*0.07</f>
        <v>0.8618750000000001</v>
      </c>
      <c r="I12" s="69">
        <f>IF($D12="B",(($E12*$F12)+$G12+$H12)*(-1),IF($D12="S",($E12*$F12)-$G12-$H12))</f>
        <v>-4938.174375</v>
      </c>
    </row>
    <row r="13" spans="3:9" ht="11.25">
      <c r="C13" s="59" t="s">
        <v>37</v>
      </c>
      <c r="D13" s="60" t="s">
        <v>19</v>
      </c>
      <c r="E13" s="61">
        <v>500</v>
      </c>
      <c r="F13" s="62">
        <v>39</v>
      </c>
      <c r="G13" s="62">
        <f>(($E13*$F13)*0.0025)</f>
        <v>48.75</v>
      </c>
      <c r="H13" s="62">
        <f>$G13*0.07</f>
        <v>3.4125000000000005</v>
      </c>
      <c r="I13" s="69">
        <f>IF($D13="B",(($E13*$F13)+$G13+$H13)*(-1),IF($D13="S",($E13*$F13)-$G13-$H13))</f>
        <v>-19552.1625</v>
      </c>
    </row>
    <row r="14" spans="3:9" ht="11.25">
      <c r="C14" s="59" t="s">
        <v>37</v>
      </c>
      <c r="D14" s="60" t="s">
        <v>19</v>
      </c>
      <c r="E14" s="61">
        <v>500</v>
      </c>
      <c r="F14" s="62">
        <v>38.75</v>
      </c>
      <c r="G14" s="62">
        <f>(($E14*$F14)*0.0025)</f>
        <v>48.4375</v>
      </c>
      <c r="H14" s="62">
        <f>$G14*0.07</f>
        <v>3.3906250000000004</v>
      </c>
      <c r="I14" s="69">
        <f>IF($D14="B",(($E14*$F14)+$G14+$H14)*(-1),IF($D14="S",($E14*$F14)-$G14-$H14))</f>
        <v>-19426.828125</v>
      </c>
    </row>
    <row r="15" spans="3:9" ht="11.25">
      <c r="C15" s="59" t="s">
        <v>38</v>
      </c>
      <c r="D15" s="60" t="s">
        <v>19</v>
      </c>
      <c r="E15" s="61">
        <v>1000</v>
      </c>
      <c r="F15" s="62">
        <v>18.4</v>
      </c>
      <c r="G15" s="62">
        <f>(($E15*$F15)*0.0025)</f>
        <v>46</v>
      </c>
      <c r="H15" s="62">
        <f>$G15*0.07</f>
        <v>3.22</v>
      </c>
      <c r="I15" s="69">
        <f>IF($D15="B",(($E15*$F15)+$G15+$H15)*(-1),IF($D15="S",($E15*$F15)-$G15-$H15))</f>
        <v>-18449.22</v>
      </c>
    </row>
    <row r="16" spans="1:10" ht="12" thickBot="1">
      <c r="A16" s="6"/>
      <c r="B16" s="68"/>
      <c r="C16" s="6"/>
      <c r="D16" s="7"/>
      <c r="E16" s="17"/>
      <c r="F16" s="8"/>
      <c r="G16" s="8"/>
      <c r="H16" s="10" t="s">
        <v>10</v>
      </c>
      <c r="I16" s="10">
        <f>SUM(I11:I15)</f>
        <v>-67279.4925</v>
      </c>
      <c r="J16" s="6"/>
    </row>
    <row r="17" spans="1:9" ht="11.25">
      <c r="A17" s="3" t="s">
        <v>40</v>
      </c>
      <c r="B17" s="14">
        <v>37895</v>
      </c>
      <c r="C17" s="59" t="s">
        <v>38</v>
      </c>
      <c r="D17" s="60" t="s">
        <v>19</v>
      </c>
      <c r="E17" s="61">
        <v>1000</v>
      </c>
      <c r="F17" s="62">
        <v>18.6</v>
      </c>
      <c r="G17" s="62">
        <f>(($E17*$F17)*0.0025)+7.41304347826087</f>
        <v>53.91304347826087</v>
      </c>
      <c r="H17" s="62">
        <f>$G17*0.07</f>
        <v>3.7739130434782613</v>
      </c>
      <c r="I17" s="69">
        <f>IF($D17="B",(($E17*$F17)+$G17+$H17)*(-1),IF($D17="S",($E17*$F17)-$G17-$H17))</f>
        <v>-18657.68695652174</v>
      </c>
    </row>
    <row r="18" spans="3:9" ht="11.25">
      <c r="C18" s="59" t="s">
        <v>41</v>
      </c>
      <c r="D18" s="60" t="s">
        <v>19</v>
      </c>
      <c r="E18" s="61">
        <v>3000</v>
      </c>
      <c r="F18" s="62">
        <v>5.3</v>
      </c>
      <c r="G18" s="62">
        <f>(($E18*$F18)*0.0025)+6.33695652173913</f>
        <v>46.08695652173913</v>
      </c>
      <c r="H18" s="62">
        <f>$G18*0.07</f>
        <v>3.2260869565217396</v>
      </c>
      <c r="I18" s="69">
        <f>IF($D18="B",(($E18*$F18)+$G18+$H18)*(-1),IF($D18="S",($E18*$F18)-$G18-$H18))</f>
        <v>-15949.313043478262</v>
      </c>
    </row>
    <row r="19" spans="1:11" ht="12" thickBot="1">
      <c r="A19" s="6"/>
      <c r="B19" s="68"/>
      <c r="C19" s="6"/>
      <c r="D19" s="7"/>
      <c r="E19" s="17"/>
      <c r="F19" s="8"/>
      <c r="G19" s="8"/>
      <c r="H19" s="10" t="s">
        <v>10</v>
      </c>
      <c r="I19" s="10">
        <f>SUM(I17:I18)</f>
        <v>-34607</v>
      </c>
      <c r="J19" s="6"/>
      <c r="K19" s="9"/>
    </row>
    <row r="20" spans="1:9" ht="11.25">
      <c r="A20" s="3" t="s">
        <v>27</v>
      </c>
      <c r="B20" s="14">
        <v>37896</v>
      </c>
      <c r="C20" s="59" t="s">
        <v>28</v>
      </c>
      <c r="D20" s="60" t="s">
        <v>19</v>
      </c>
      <c r="E20" s="61">
        <v>10000</v>
      </c>
      <c r="F20" s="62">
        <v>4.74</v>
      </c>
      <c r="G20" s="62">
        <f>(($E20*$F20)*0.0025)</f>
        <v>118.5</v>
      </c>
      <c r="H20" s="62">
        <f>$G20*0.07</f>
        <v>8.295</v>
      </c>
      <c r="I20" s="69">
        <f>IF($D20="B",(($E20*$F20)+$G20+$H20)*(-1),IF($D20="S",($E20*$F20)-$G20-$H20))</f>
        <v>-47526.795</v>
      </c>
    </row>
    <row r="21" spans="3:11" ht="11.25">
      <c r="C21" s="59" t="s">
        <v>38</v>
      </c>
      <c r="D21" s="60" t="s">
        <v>32</v>
      </c>
      <c r="E21" s="61">
        <v>2000</v>
      </c>
      <c r="F21" s="62">
        <v>18.8</v>
      </c>
      <c r="G21" s="62">
        <f>(($E21*$F21)*0.0025)</f>
        <v>94</v>
      </c>
      <c r="H21" s="62">
        <f>$G21*0.07</f>
        <v>6.580000000000001</v>
      </c>
      <c r="I21" s="69">
        <f>IF($D21="B",(($E21*$F21)+$G21+$H21)*(-1),IF($D21="S",($E21*$F21)-$G21-$H21))</f>
        <v>37499.42</v>
      </c>
      <c r="J21" s="65">
        <f>SUM(I21,I17,I15)</f>
        <v>392.5130434782586</v>
      </c>
      <c r="K21" s="9"/>
    </row>
    <row r="22" spans="3:9" ht="11.25">
      <c r="C22" s="59" t="s">
        <v>37</v>
      </c>
      <c r="D22" s="60" t="s">
        <v>32</v>
      </c>
      <c r="E22" s="61">
        <v>500</v>
      </c>
      <c r="F22" s="62">
        <v>39.75</v>
      </c>
      <c r="G22" s="62">
        <f>(($E22*$F22)*0.0025)</f>
        <v>49.6875</v>
      </c>
      <c r="H22" s="62">
        <f>$G22*0.07</f>
        <v>3.4781250000000004</v>
      </c>
      <c r="I22" s="69">
        <f>IF($D22="B",(($E22*$F22)+$G22+$H22)*(-1),IF($D22="S",($E22*$F22)-$G22-$H22))</f>
        <v>19821.834375</v>
      </c>
    </row>
    <row r="23" spans="3:10" ht="11.25">
      <c r="C23" s="59" t="s">
        <v>41</v>
      </c>
      <c r="D23" s="60" t="s">
        <v>32</v>
      </c>
      <c r="E23" s="61">
        <v>3000</v>
      </c>
      <c r="F23" s="62">
        <v>5.4</v>
      </c>
      <c r="G23" s="62">
        <f>(($E23*$F23)*0.0025)</f>
        <v>40.50000000000001</v>
      </c>
      <c r="H23" s="62">
        <f>$G23*0.07</f>
        <v>2.835000000000001</v>
      </c>
      <c r="I23" s="69">
        <f>IF($D23="B",(($E23*$F23)+$G23+$H23)*(-1),IF($D23="S",($E23*$F23)-$G23-$H23))</f>
        <v>16156.665000000003</v>
      </c>
      <c r="J23" s="65">
        <f>SUM(I23,I18)</f>
        <v>207.35195652174116</v>
      </c>
    </row>
    <row r="24" spans="1:10" ht="12" thickBot="1">
      <c r="A24" s="6"/>
      <c r="B24" s="68"/>
      <c r="C24" s="6"/>
      <c r="D24" s="7"/>
      <c r="E24" s="17"/>
      <c r="F24" s="8"/>
      <c r="G24" s="8"/>
      <c r="H24" s="66" t="s">
        <v>17</v>
      </c>
      <c r="I24" s="66">
        <f>SUM(I20:I23)</f>
        <v>25951.124375</v>
      </c>
      <c r="J24" s="6"/>
    </row>
    <row r="25" spans="1:10" ht="11.25">
      <c r="A25" s="3" t="s">
        <v>31</v>
      </c>
      <c r="B25" s="14">
        <v>37897</v>
      </c>
      <c r="C25" s="59" t="s">
        <v>37</v>
      </c>
      <c r="D25" s="60" t="s">
        <v>32</v>
      </c>
      <c r="E25" s="61">
        <v>500</v>
      </c>
      <c r="F25" s="62">
        <v>39.75</v>
      </c>
      <c r="G25" s="62">
        <f>(($E25*$F25)*0.0025)</f>
        <v>49.6875</v>
      </c>
      <c r="H25" s="62">
        <f>$G25*0.07</f>
        <v>3.4781250000000004</v>
      </c>
      <c r="I25" s="69">
        <f>IF($D25="B",(($E25*$F25)+$G25+$H25)*(-1),IF($D25="S",($E25*$F25)-$G25-$H25))</f>
        <v>19821.834375</v>
      </c>
      <c r="J25" s="65">
        <f>SUM(I25,I22,I13:I14)</f>
        <v>664.6781249999985</v>
      </c>
    </row>
    <row r="26" spans="3:9" ht="11.25">
      <c r="C26" s="59" t="s">
        <v>37</v>
      </c>
      <c r="D26" s="60" t="s">
        <v>19</v>
      </c>
      <c r="E26" s="61">
        <v>1000</v>
      </c>
      <c r="F26" s="62">
        <v>38.25</v>
      </c>
      <c r="G26" s="62">
        <f>(($E26*$F26)*0.0025)</f>
        <v>95.625</v>
      </c>
      <c r="H26" s="62">
        <f>$G26*0.07</f>
        <v>6.6937500000000005</v>
      </c>
      <c r="I26" s="69">
        <f>IF($D26="B",(($E26*$F26)+$G26+$H26)*(-1),IF($D26="S",($E26*$F26)-$G26-$H26))</f>
        <v>-38352.31875</v>
      </c>
    </row>
    <row r="27" spans="1:10" ht="12" thickBot="1">
      <c r="A27" s="6"/>
      <c r="B27" s="68"/>
      <c r="C27" s="6"/>
      <c r="D27" s="7"/>
      <c r="E27" s="17"/>
      <c r="F27" s="8"/>
      <c r="G27" s="8"/>
      <c r="H27" s="10" t="s">
        <v>10</v>
      </c>
      <c r="I27" s="10">
        <f>SUM(I25:I26)</f>
        <v>-18530.484375</v>
      </c>
      <c r="J27" s="6"/>
    </row>
    <row r="28" spans="1:10" ht="11.25">
      <c r="A28" s="3" t="s">
        <v>36</v>
      </c>
      <c r="B28" s="14">
        <v>37901</v>
      </c>
      <c r="C28" s="59" t="s">
        <v>26</v>
      </c>
      <c r="D28" s="60" t="s">
        <v>32</v>
      </c>
      <c r="E28" s="61">
        <v>5000</v>
      </c>
      <c r="F28" s="62">
        <v>10.4</v>
      </c>
      <c r="G28" s="62">
        <f>(($E28*$F28)*0.0025)</f>
        <v>130</v>
      </c>
      <c r="H28" s="62">
        <f>$G28*0.07</f>
        <v>9.100000000000001</v>
      </c>
      <c r="I28" s="69">
        <f>IF($D28="B",(($E28*$F28)+$G28+$H28)*(-1),IF($D28="S",($E28*$F28)-$G28-$H28))</f>
        <v>51860.9</v>
      </c>
      <c r="J28" s="65">
        <f>SUM(I28,I11:I12,I8:I9,I4)</f>
        <v>2579.4237500000017</v>
      </c>
    </row>
    <row r="29" spans="1:10" ht="12" thickBot="1">
      <c r="A29" s="6"/>
      <c r="B29" s="68"/>
      <c r="C29" s="6"/>
      <c r="D29" s="7"/>
      <c r="E29" s="17"/>
      <c r="F29" s="8"/>
      <c r="G29" s="8"/>
      <c r="H29" s="66" t="s">
        <v>17</v>
      </c>
      <c r="I29" s="66">
        <f>I28</f>
        <v>51860.9</v>
      </c>
      <c r="J29" s="6"/>
    </row>
    <row r="30" spans="1:9" ht="11.25">
      <c r="A30" s="3" t="s">
        <v>27</v>
      </c>
      <c r="B30" s="14">
        <v>37903</v>
      </c>
      <c r="C30" s="59" t="s">
        <v>28</v>
      </c>
      <c r="D30" s="60" t="s">
        <v>19</v>
      </c>
      <c r="E30" s="61">
        <v>5000</v>
      </c>
      <c r="F30" s="62">
        <v>4.58</v>
      </c>
      <c r="G30" s="62">
        <f>(($E30*$F30)*0.0025)</f>
        <v>57.25</v>
      </c>
      <c r="H30" s="62">
        <f>$G30*0.07</f>
        <v>4.0075</v>
      </c>
      <c r="I30" s="69">
        <f>IF($D30="B",(($E30*$F30)+$G30+$H30)*(-1),IF($D30="S",($E30*$F30)-$G30-$H30))</f>
        <v>-22961.2575</v>
      </c>
    </row>
    <row r="31" spans="3:9" ht="11.25">
      <c r="C31" s="59" t="s">
        <v>28</v>
      </c>
      <c r="D31" s="60" t="s">
        <v>19</v>
      </c>
      <c r="E31" s="61">
        <v>5000</v>
      </c>
      <c r="F31" s="62">
        <v>4.68</v>
      </c>
      <c r="G31" s="62">
        <f>(($E31*$F31)*0.0025)</f>
        <v>58.5</v>
      </c>
      <c r="H31" s="62">
        <f>$G31*0.07</f>
        <v>4.095000000000001</v>
      </c>
      <c r="I31" s="69">
        <f>IF($D31="B",(($E31*$F31)+$G31+$H31)*(-1),IF($D31="S",($E31*$F31)-$G31-$H31))</f>
        <v>-23462.595</v>
      </c>
    </row>
    <row r="32" spans="1:10" ht="12" thickBot="1">
      <c r="A32" s="6"/>
      <c r="B32" s="68"/>
      <c r="C32" s="6"/>
      <c r="D32" s="7"/>
      <c r="E32" s="17"/>
      <c r="F32" s="8"/>
      <c r="G32" s="8"/>
      <c r="H32" s="10" t="s">
        <v>10</v>
      </c>
      <c r="I32" s="10">
        <f>SUM(I30:I31)</f>
        <v>-46423.8525</v>
      </c>
      <c r="J32" s="6"/>
    </row>
    <row r="33" spans="1:10" ht="11.25">
      <c r="A33" s="3" t="s">
        <v>34</v>
      </c>
      <c r="B33" s="14">
        <v>37907</v>
      </c>
      <c r="C33" s="59" t="s">
        <v>37</v>
      </c>
      <c r="D33" s="60" t="s">
        <v>32</v>
      </c>
      <c r="E33" s="61">
        <v>1000</v>
      </c>
      <c r="F33" s="62">
        <v>39.25</v>
      </c>
      <c r="G33" s="62">
        <v>100</v>
      </c>
      <c r="H33" s="62">
        <f>$G33*0.07</f>
        <v>7.000000000000001</v>
      </c>
      <c r="I33" s="69">
        <f>IF($D33="B",(($E33*$F33)+$G33+$H33)*(-1),IF($D33="S",($E33*$F33)-$G33-$H33))</f>
        <v>39143</v>
      </c>
      <c r="J33" s="65">
        <f>SUM(I33,I26)</f>
        <v>790.6812500000015</v>
      </c>
    </row>
    <row r="34" spans="1:10" ht="12" thickBot="1">
      <c r="A34" s="6"/>
      <c r="B34" s="68"/>
      <c r="C34" s="6"/>
      <c r="D34" s="7"/>
      <c r="E34" s="17"/>
      <c r="F34" s="8"/>
      <c r="G34" s="8"/>
      <c r="H34" s="66" t="s">
        <v>17</v>
      </c>
      <c r="I34" s="66">
        <f>I33</f>
        <v>39143</v>
      </c>
      <c r="J34" s="6"/>
    </row>
    <row r="35" spans="1:9" ht="11.25">
      <c r="A35" s="3" t="s">
        <v>27</v>
      </c>
      <c r="B35" s="14">
        <v>37910</v>
      </c>
      <c r="C35" s="59" t="s">
        <v>28</v>
      </c>
      <c r="D35" s="60" t="s">
        <v>32</v>
      </c>
      <c r="E35" s="61">
        <v>10000</v>
      </c>
      <c r="F35" s="62">
        <v>4.86</v>
      </c>
      <c r="G35" s="62">
        <f aca="true" t="shared" si="0" ref="G35:G47">(($E35*$F35)*0.0025)</f>
        <v>121.5</v>
      </c>
      <c r="H35" s="62">
        <f aca="true" t="shared" si="1" ref="H35:H98">$G35*0.07</f>
        <v>8.505</v>
      </c>
      <c r="I35" s="69">
        <f aca="true" t="shared" si="2" ref="I35:I98">IF($D35="B",(($E35*$F35)+$G35+$H35)*(-1),IF($D35="S",($E35*$F35)-$G35-$H35))</f>
        <v>48469.995</v>
      </c>
    </row>
    <row r="36" spans="3:9" ht="11.25">
      <c r="C36" s="59" t="s">
        <v>28</v>
      </c>
      <c r="D36" s="60" t="s">
        <v>19</v>
      </c>
      <c r="E36" s="61">
        <v>10000</v>
      </c>
      <c r="F36" s="62">
        <v>4.8</v>
      </c>
      <c r="G36" s="62">
        <f t="shared" si="0"/>
        <v>120</v>
      </c>
      <c r="H36" s="62">
        <f t="shared" si="1"/>
        <v>8.4</v>
      </c>
      <c r="I36" s="69">
        <f t="shared" si="2"/>
        <v>-48128.4</v>
      </c>
    </row>
    <row r="37" spans="3:10" ht="11.25">
      <c r="C37" s="59" t="s">
        <v>28</v>
      </c>
      <c r="D37" s="60" t="s">
        <v>32</v>
      </c>
      <c r="E37" s="61">
        <v>20000</v>
      </c>
      <c r="F37" s="62">
        <v>4.88</v>
      </c>
      <c r="G37" s="62">
        <f t="shared" si="0"/>
        <v>244</v>
      </c>
      <c r="H37" s="62">
        <f t="shared" si="1"/>
        <v>17.080000000000002</v>
      </c>
      <c r="I37" s="69">
        <f t="shared" si="2"/>
        <v>97338.92</v>
      </c>
      <c r="J37" s="65">
        <f>SUM(I35:I37,I30:I31,I20)</f>
        <v>3729.8675000000076</v>
      </c>
    </row>
    <row r="38" spans="3:9" ht="11.25">
      <c r="C38" s="59" t="s">
        <v>70</v>
      </c>
      <c r="D38" s="60" t="s">
        <v>19</v>
      </c>
      <c r="E38" s="61">
        <v>500</v>
      </c>
      <c r="F38" s="62">
        <v>23</v>
      </c>
      <c r="G38" s="62">
        <f t="shared" si="0"/>
        <v>28.75</v>
      </c>
      <c r="H38" s="62">
        <f t="shared" si="1"/>
        <v>2.0125</v>
      </c>
      <c r="I38" s="69">
        <f t="shared" si="2"/>
        <v>-11530.7625</v>
      </c>
    </row>
    <row r="39" spans="3:9" ht="11.25">
      <c r="C39" s="59" t="s">
        <v>70</v>
      </c>
      <c r="D39" s="60" t="s">
        <v>19</v>
      </c>
      <c r="E39" s="61">
        <v>300</v>
      </c>
      <c r="F39" s="62">
        <v>22.9</v>
      </c>
      <c r="G39" s="62">
        <f t="shared" si="0"/>
        <v>17.175</v>
      </c>
      <c r="H39" s="62">
        <f t="shared" si="1"/>
        <v>1.2022500000000003</v>
      </c>
      <c r="I39" s="69">
        <f t="shared" si="2"/>
        <v>-6888.3772500000005</v>
      </c>
    </row>
    <row r="40" spans="3:9" ht="11.25">
      <c r="C40" s="59" t="s">
        <v>71</v>
      </c>
      <c r="D40" s="60" t="s">
        <v>19</v>
      </c>
      <c r="E40" s="61">
        <v>500</v>
      </c>
      <c r="F40" s="62">
        <v>60.5</v>
      </c>
      <c r="G40" s="62">
        <f t="shared" si="0"/>
        <v>75.625</v>
      </c>
      <c r="H40" s="62">
        <f t="shared" si="1"/>
        <v>5.29375</v>
      </c>
      <c r="I40" s="69">
        <f t="shared" si="2"/>
        <v>-30330.91875</v>
      </c>
    </row>
    <row r="41" spans="1:10" ht="12" thickBot="1">
      <c r="A41" s="6"/>
      <c r="B41" s="68"/>
      <c r="C41" s="6"/>
      <c r="D41" s="7"/>
      <c r="E41" s="17"/>
      <c r="F41" s="8"/>
      <c r="G41" s="8"/>
      <c r="H41" s="66" t="s">
        <v>17</v>
      </c>
      <c r="I41" s="66">
        <f>SUM(I35:I40)</f>
        <v>48930.4565</v>
      </c>
      <c r="J41" s="6"/>
    </row>
    <row r="42" spans="1:10" ht="11.25">
      <c r="A42" s="3" t="s">
        <v>31</v>
      </c>
      <c r="B42" s="14">
        <v>37911</v>
      </c>
      <c r="C42" s="59" t="s">
        <v>70</v>
      </c>
      <c r="D42" s="60" t="s">
        <v>32</v>
      </c>
      <c r="E42" s="61">
        <v>800</v>
      </c>
      <c r="F42" s="62">
        <v>22.7</v>
      </c>
      <c r="G42" s="62">
        <f t="shared" si="0"/>
        <v>45.4</v>
      </c>
      <c r="H42" s="62">
        <f t="shared" si="1"/>
        <v>3.1780000000000004</v>
      </c>
      <c r="I42" s="69">
        <f t="shared" si="2"/>
        <v>18111.422</v>
      </c>
      <c r="J42" s="95">
        <f>SUM(I42,I38:I39)</f>
        <v>-307.7177500000025</v>
      </c>
    </row>
    <row r="43" spans="3:9" ht="11.25">
      <c r="C43" s="59" t="s">
        <v>70</v>
      </c>
      <c r="D43" s="60" t="s">
        <v>19</v>
      </c>
      <c r="E43" s="61">
        <v>1000</v>
      </c>
      <c r="F43" s="62">
        <v>22.4</v>
      </c>
      <c r="G43" s="62">
        <f t="shared" si="0"/>
        <v>56</v>
      </c>
      <c r="H43" s="62">
        <f t="shared" si="1"/>
        <v>3.9200000000000004</v>
      </c>
      <c r="I43" s="69">
        <f t="shared" si="2"/>
        <v>-22459.92</v>
      </c>
    </row>
    <row r="44" spans="3:10" ht="11.25">
      <c r="C44" s="59" t="s">
        <v>71</v>
      </c>
      <c r="D44" s="60" t="s">
        <v>32</v>
      </c>
      <c r="E44" s="61">
        <v>500</v>
      </c>
      <c r="F44" s="62">
        <v>62.5</v>
      </c>
      <c r="G44" s="62">
        <f t="shared" si="0"/>
        <v>78.125</v>
      </c>
      <c r="H44" s="62">
        <f t="shared" si="1"/>
        <v>5.468750000000001</v>
      </c>
      <c r="I44" s="69">
        <f t="shared" si="2"/>
        <v>31166.40625</v>
      </c>
      <c r="J44" s="65">
        <f>SUM(I44,I40)</f>
        <v>835.4874999999993</v>
      </c>
    </row>
    <row r="45" spans="3:9" ht="11.25">
      <c r="C45" s="59" t="s">
        <v>71</v>
      </c>
      <c r="D45" s="60" t="s">
        <v>19</v>
      </c>
      <c r="E45" s="61">
        <v>500</v>
      </c>
      <c r="F45" s="62">
        <v>61</v>
      </c>
      <c r="G45" s="62">
        <f t="shared" si="0"/>
        <v>76.25</v>
      </c>
      <c r="H45" s="62">
        <f t="shared" si="1"/>
        <v>5.3375</v>
      </c>
      <c r="I45" s="69">
        <f t="shared" si="2"/>
        <v>-30581.5875</v>
      </c>
    </row>
    <row r="46" spans="3:9" ht="11.25">
      <c r="C46" s="59" t="s">
        <v>73</v>
      </c>
      <c r="D46" s="60" t="s">
        <v>19</v>
      </c>
      <c r="E46" s="61">
        <v>1000</v>
      </c>
      <c r="F46" s="62">
        <v>7.15</v>
      </c>
      <c r="G46" s="62">
        <f t="shared" si="0"/>
        <v>17.875</v>
      </c>
      <c r="H46" s="62">
        <f t="shared" si="1"/>
        <v>1.2512500000000002</v>
      </c>
      <c r="I46" s="69">
        <f t="shared" si="2"/>
        <v>-7169.12625</v>
      </c>
    </row>
    <row r="47" spans="3:9" ht="11.25">
      <c r="C47" s="59" t="s">
        <v>73</v>
      </c>
      <c r="D47" s="60" t="s">
        <v>19</v>
      </c>
      <c r="E47" s="61">
        <v>2000</v>
      </c>
      <c r="F47" s="62">
        <v>7.1</v>
      </c>
      <c r="G47" s="62">
        <f t="shared" si="0"/>
        <v>35.5</v>
      </c>
      <c r="H47" s="62">
        <f t="shared" si="1"/>
        <v>2.4850000000000003</v>
      </c>
      <c r="I47" s="69">
        <f t="shared" si="2"/>
        <v>-14237.985</v>
      </c>
    </row>
    <row r="48" spans="1:10" ht="12" thickBot="1">
      <c r="A48" s="6"/>
      <c r="B48" s="68"/>
      <c r="C48" s="6"/>
      <c r="D48" s="7"/>
      <c r="E48" s="17"/>
      <c r="F48" s="8"/>
      <c r="G48" s="8"/>
      <c r="H48" s="10" t="s">
        <v>10</v>
      </c>
      <c r="I48" s="10">
        <f>SUM(I42:I47)</f>
        <v>-25170.790500000003</v>
      </c>
      <c r="J48" s="6"/>
    </row>
    <row r="49" spans="1:9" ht="11.25">
      <c r="A49" s="3" t="s">
        <v>34</v>
      </c>
      <c r="B49" s="14">
        <v>37914</v>
      </c>
      <c r="C49" s="59" t="s">
        <v>76</v>
      </c>
      <c r="D49" s="60" t="s">
        <v>19</v>
      </c>
      <c r="E49" s="61">
        <v>500</v>
      </c>
      <c r="F49" s="62">
        <v>42.25</v>
      </c>
      <c r="G49" s="62">
        <v>100</v>
      </c>
      <c r="H49" s="62">
        <f t="shared" si="1"/>
        <v>7.000000000000001</v>
      </c>
      <c r="I49" s="69">
        <f t="shared" si="2"/>
        <v>-21232</v>
      </c>
    </row>
    <row r="50" spans="1:10" ht="12" thickBot="1">
      <c r="A50" s="6"/>
      <c r="B50" s="68"/>
      <c r="C50" s="6"/>
      <c r="D50" s="7"/>
      <c r="E50" s="17"/>
      <c r="F50" s="8"/>
      <c r="G50" s="8"/>
      <c r="H50" s="10" t="s">
        <v>10</v>
      </c>
      <c r="I50" s="10">
        <f>I49</f>
        <v>-21232</v>
      </c>
      <c r="J50" s="6"/>
    </row>
    <row r="51" spans="1:10" ht="11.25">
      <c r="A51" s="3" t="s">
        <v>36</v>
      </c>
      <c r="B51" s="14">
        <v>37915</v>
      </c>
      <c r="C51" s="59" t="s">
        <v>70</v>
      </c>
      <c r="D51" s="60" t="s">
        <v>32</v>
      </c>
      <c r="E51" s="61">
        <v>1000</v>
      </c>
      <c r="F51" s="62">
        <v>23.6</v>
      </c>
      <c r="G51" s="62">
        <f aca="true" t="shared" si="3" ref="G51:G71">(($E51*$F51)*0.0025)</f>
        <v>59</v>
      </c>
      <c r="H51" s="62">
        <f t="shared" si="1"/>
        <v>4.130000000000001</v>
      </c>
      <c r="I51" s="69">
        <f t="shared" si="2"/>
        <v>23536.87</v>
      </c>
      <c r="J51" s="65">
        <f>SUM(I51,I43)</f>
        <v>1076.9500000000007</v>
      </c>
    </row>
    <row r="52" spans="3:10" ht="11.25">
      <c r="C52" s="59" t="s">
        <v>76</v>
      </c>
      <c r="D52" s="60" t="s">
        <v>32</v>
      </c>
      <c r="E52" s="61">
        <v>500</v>
      </c>
      <c r="F52" s="62">
        <v>42.75</v>
      </c>
      <c r="G52" s="62">
        <f t="shared" si="3"/>
        <v>53.4375</v>
      </c>
      <c r="H52" s="62">
        <f t="shared" si="1"/>
        <v>3.7406250000000005</v>
      </c>
      <c r="I52" s="69">
        <f t="shared" si="2"/>
        <v>21317.821875</v>
      </c>
      <c r="J52" s="65">
        <f>SUM(I52,I49)</f>
        <v>85.82187500000146</v>
      </c>
    </row>
    <row r="53" spans="3:9" ht="11.25">
      <c r="C53" s="59" t="s">
        <v>78</v>
      </c>
      <c r="D53" s="60" t="s">
        <v>19</v>
      </c>
      <c r="E53" s="61">
        <v>1000</v>
      </c>
      <c r="F53" s="62">
        <v>14.4</v>
      </c>
      <c r="G53" s="62">
        <f t="shared" si="3"/>
        <v>36</v>
      </c>
      <c r="H53" s="62">
        <f t="shared" si="1"/>
        <v>2.5200000000000005</v>
      </c>
      <c r="I53" s="69">
        <f t="shared" si="2"/>
        <v>-14438.52</v>
      </c>
    </row>
    <row r="54" spans="3:9" ht="11.25">
      <c r="C54" s="59" t="s">
        <v>73</v>
      </c>
      <c r="D54" s="60" t="s">
        <v>19</v>
      </c>
      <c r="E54" s="61">
        <v>2000</v>
      </c>
      <c r="F54" s="62">
        <v>6.55</v>
      </c>
      <c r="G54" s="62">
        <f t="shared" si="3"/>
        <v>32.75</v>
      </c>
      <c r="H54" s="62">
        <f t="shared" si="1"/>
        <v>2.2925000000000004</v>
      </c>
      <c r="I54" s="69">
        <f t="shared" si="2"/>
        <v>-13135.0425</v>
      </c>
    </row>
    <row r="55" spans="3:9" ht="11.25">
      <c r="C55" s="59" t="s">
        <v>71</v>
      </c>
      <c r="D55" s="60" t="s">
        <v>19</v>
      </c>
      <c r="E55" s="61">
        <v>200</v>
      </c>
      <c r="F55" s="62">
        <v>59</v>
      </c>
      <c r="G55" s="62">
        <f t="shared" si="3"/>
        <v>29.5</v>
      </c>
      <c r="H55" s="62">
        <f t="shared" si="1"/>
        <v>2.0650000000000004</v>
      </c>
      <c r="I55" s="69">
        <f t="shared" si="2"/>
        <v>-11831.565</v>
      </c>
    </row>
    <row r="56" spans="3:9" ht="11.25">
      <c r="C56" s="59" t="s">
        <v>79</v>
      </c>
      <c r="D56" s="60" t="s">
        <v>19</v>
      </c>
      <c r="E56" s="61">
        <v>5000</v>
      </c>
      <c r="F56" s="62">
        <v>5.05</v>
      </c>
      <c r="G56" s="62">
        <f t="shared" si="3"/>
        <v>63.125</v>
      </c>
      <c r="H56" s="62">
        <f t="shared" si="1"/>
        <v>4.41875</v>
      </c>
      <c r="I56" s="69">
        <f t="shared" si="2"/>
        <v>-25317.54375</v>
      </c>
    </row>
    <row r="57" spans="3:10" ht="11.25">
      <c r="C57" s="59" t="s">
        <v>79</v>
      </c>
      <c r="D57" s="60" t="s">
        <v>19</v>
      </c>
      <c r="E57" s="61">
        <v>1000</v>
      </c>
      <c r="F57" s="62">
        <v>4.9</v>
      </c>
      <c r="G57" s="62">
        <f t="shared" si="3"/>
        <v>12.25</v>
      </c>
      <c r="H57" s="62">
        <f t="shared" si="1"/>
        <v>0.8575</v>
      </c>
      <c r="I57" s="62">
        <f t="shared" si="2"/>
        <v>-4913.1075</v>
      </c>
      <c r="J57" s="3"/>
    </row>
    <row r="58" spans="1:10" ht="12" thickBot="1">
      <c r="A58" s="6"/>
      <c r="B58" s="68"/>
      <c r="C58" s="6"/>
      <c r="D58" s="7"/>
      <c r="E58" s="17"/>
      <c r="F58" s="8"/>
      <c r="G58" s="8"/>
      <c r="H58" s="10" t="s">
        <v>10</v>
      </c>
      <c r="I58" s="10">
        <f>SUM(I51:I57)</f>
        <v>-24781.086874999994</v>
      </c>
      <c r="J58" s="6"/>
    </row>
    <row r="59" spans="1:9" ht="11.25">
      <c r="A59" s="3" t="s">
        <v>40</v>
      </c>
      <c r="B59" s="14">
        <v>37916</v>
      </c>
      <c r="C59" s="59" t="s">
        <v>79</v>
      </c>
      <c r="D59" s="60" t="s">
        <v>32</v>
      </c>
      <c r="E59" s="61">
        <v>6000</v>
      </c>
      <c r="F59" s="62">
        <v>5.35</v>
      </c>
      <c r="G59" s="62">
        <f t="shared" si="3"/>
        <v>80.24999999999999</v>
      </c>
      <c r="H59" s="62">
        <f t="shared" si="1"/>
        <v>5.6175</v>
      </c>
      <c r="I59" s="62">
        <f t="shared" si="2"/>
        <v>32014.132499999996</v>
      </c>
    </row>
    <row r="60" spans="3:9" ht="11.25">
      <c r="C60" s="59" t="s">
        <v>79</v>
      </c>
      <c r="D60" s="60" t="s">
        <v>19</v>
      </c>
      <c r="E60" s="61">
        <v>5000</v>
      </c>
      <c r="F60" s="62">
        <v>5</v>
      </c>
      <c r="G60" s="62">
        <f t="shared" si="3"/>
        <v>62.5</v>
      </c>
      <c r="H60" s="62">
        <f t="shared" si="1"/>
        <v>4.375</v>
      </c>
      <c r="I60" s="62">
        <f t="shared" si="2"/>
        <v>-25066.875</v>
      </c>
    </row>
    <row r="61" spans="3:10" ht="11.25">
      <c r="C61" s="59" t="s">
        <v>79</v>
      </c>
      <c r="D61" s="60" t="s">
        <v>32</v>
      </c>
      <c r="E61" s="61">
        <v>5000</v>
      </c>
      <c r="F61" s="62">
        <v>5.15</v>
      </c>
      <c r="G61" s="62">
        <f t="shared" si="3"/>
        <v>64.375</v>
      </c>
      <c r="H61" s="62">
        <f t="shared" si="1"/>
        <v>4.5062500000000005</v>
      </c>
      <c r="I61" s="62">
        <f t="shared" si="2"/>
        <v>25681.11875</v>
      </c>
      <c r="J61" s="65">
        <f>SUM(I59:I61,I56:I57)</f>
        <v>2397.7249999999967</v>
      </c>
    </row>
    <row r="62" spans="3:9" ht="11.25">
      <c r="C62" s="59" t="s">
        <v>81</v>
      </c>
      <c r="D62" s="60" t="s">
        <v>19</v>
      </c>
      <c r="E62" s="61">
        <v>1000</v>
      </c>
      <c r="F62" s="62">
        <v>24.8</v>
      </c>
      <c r="G62" s="62">
        <f t="shared" si="3"/>
        <v>62</v>
      </c>
      <c r="H62" s="62">
        <f t="shared" si="1"/>
        <v>4.340000000000001</v>
      </c>
      <c r="I62" s="62">
        <f t="shared" si="2"/>
        <v>-24866.34</v>
      </c>
    </row>
    <row r="63" spans="3:9" ht="11.25">
      <c r="C63" s="59" t="s">
        <v>73</v>
      </c>
      <c r="D63" s="60" t="s">
        <v>19</v>
      </c>
      <c r="E63" s="61">
        <v>2000</v>
      </c>
      <c r="F63" s="62">
        <v>6.75</v>
      </c>
      <c r="G63" s="62">
        <f t="shared" si="3"/>
        <v>33.75</v>
      </c>
      <c r="H63" s="62">
        <f t="shared" si="1"/>
        <v>2.3625000000000003</v>
      </c>
      <c r="I63" s="62">
        <f t="shared" si="2"/>
        <v>-13536.1125</v>
      </c>
    </row>
    <row r="64" spans="3:9" ht="11.25">
      <c r="C64" s="59" t="s">
        <v>73</v>
      </c>
      <c r="D64" s="60" t="s">
        <v>19</v>
      </c>
      <c r="E64" s="61">
        <v>2000</v>
      </c>
      <c r="F64" s="62">
        <v>6.65</v>
      </c>
      <c r="G64" s="62">
        <f t="shared" si="3"/>
        <v>33.25</v>
      </c>
      <c r="H64" s="62">
        <f t="shared" si="1"/>
        <v>2.3275</v>
      </c>
      <c r="I64" s="62">
        <f t="shared" si="2"/>
        <v>-13335.5775</v>
      </c>
    </row>
    <row r="65" spans="3:9" ht="11.25">
      <c r="C65" s="59" t="s">
        <v>71</v>
      </c>
      <c r="D65" s="60" t="s">
        <v>19</v>
      </c>
      <c r="E65" s="61">
        <v>500</v>
      </c>
      <c r="F65" s="62">
        <v>60</v>
      </c>
      <c r="G65" s="62">
        <f t="shared" si="3"/>
        <v>75</v>
      </c>
      <c r="H65" s="62">
        <f t="shared" si="1"/>
        <v>5.250000000000001</v>
      </c>
      <c r="I65" s="62">
        <f t="shared" si="2"/>
        <v>-30080.25</v>
      </c>
    </row>
    <row r="66" spans="1:10" ht="12" thickBot="1">
      <c r="A66" s="6"/>
      <c r="B66" s="68"/>
      <c r="C66" s="6"/>
      <c r="D66" s="7"/>
      <c r="E66" s="17"/>
      <c r="F66" s="8"/>
      <c r="G66" s="8"/>
      <c r="H66" s="10" t="s">
        <v>10</v>
      </c>
      <c r="I66" s="10">
        <f>SUM(I59:I65)</f>
        <v>-49189.90375</v>
      </c>
      <c r="J66" s="6"/>
    </row>
    <row r="67" spans="1:10" ht="11.25">
      <c r="A67" s="3" t="s">
        <v>31</v>
      </c>
      <c r="B67" s="14">
        <v>37918</v>
      </c>
      <c r="C67" s="59" t="s">
        <v>71</v>
      </c>
      <c r="D67" s="60" t="s">
        <v>32</v>
      </c>
      <c r="E67" s="61">
        <v>1200</v>
      </c>
      <c r="F67" s="62">
        <v>67.5</v>
      </c>
      <c r="G67" s="62">
        <f t="shared" si="3"/>
        <v>202.5</v>
      </c>
      <c r="H67" s="62">
        <f t="shared" si="1"/>
        <v>14.175</v>
      </c>
      <c r="I67" s="62">
        <f t="shared" si="2"/>
        <v>80783.325</v>
      </c>
      <c r="J67" s="65">
        <f>SUM(I67,I65,I55,I45)</f>
        <v>8289.922499999993</v>
      </c>
    </row>
    <row r="68" spans="3:9" ht="11.25">
      <c r="C68" s="59" t="s">
        <v>71</v>
      </c>
      <c r="D68" s="60" t="s">
        <v>19</v>
      </c>
      <c r="E68" s="61">
        <v>1000</v>
      </c>
      <c r="F68" s="62">
        <v>66.5</v>
      </c>
      <c r="G68" s="62">
        <f t="shared" si="3"/>
        <v>166.25</v>
      </c>
      <c r="H68" s="62">
        <f t="shared" si="1"/>
        <v>11.637500000000001</v>
      </c>
      <c r="I68" s="62">
        <f t="shared" si="2"/>
        <v>-66677.8875</v>
      </c>
    </row>
    <row r="69" spans="3:9" ht="11.25">
      <c r="C69" s="59" t="s">
        <v>73</v>
      </c>
      <c r="D69" s="60" t="s">
        <v>19</v>
      </c>
      <c r="E69" s="61">
        <v>1000</v>
      </c>
      <c r="F69" s="62">
        <v>6.75</v>
      </c>
      <c r="G69" s="62">
        <f t="shared" si="3"/>
        <v>16.875</v>
      </c>
      <c r="H69" s="62">
        <f t="shared" si="1"/>
        <v>1.1812500000000001</v>
      </c>
      <c r="I69" s="62">
        <f t="shared" si="2"/>
        <v>-6768.05625</v>
      </c>
    </row>
    <row r="70" spans="3:9" ht="11.25">
      <c r="C70" s="59" t="s">
        <v>79</v>
      </c>
      <c r="D70" s="60" t="s">
        <v>19</v>
      </c>
      <c r="E70" s="61">
        <v>1000</v>
      </c>
      <c r="F70" s="62">
        <v>4.98</v>
      </c>
      <c r="G70" s="62">
        <f t="shared" si="3"/>
        <v>12.450000000000001</v>
      </c>
      <c r="H70" s="62">
        <f t="shared" si="1"/>
        <v>0.8715000000000002</v>
      </c>
      <c r="I70" s="62">
        <f t="shared" si="2"/>
        <v>-4993.3215</v>
      </c>
    </row>
    <row r="71" spans="3:9" ht="11.25">
      <c r="C71" s="59" t="s">
        <v>79</v>
      </c>
      <c r="D71" s="60" t="s">
        <v>19</v>
      </c>
      <c r="E71" s="61">
        <v>5000</v>
      </c>
      <c r="F71" s="62">
        <v>5.05</v>
      </c>
      <c r="G71" s="62">
        <f t="shared" si="3"/>
        <v>63.125</v>
      </c>
      <c r="H71" s="62">
        <f t="shared" si="1"/>
        <v>4.41875</v>
      </c>
      <c r="I71" s="62">
        <f t="shared" si="2"/>
        <v>-25317.54375</v>
      </c>
    </row>
    <row r="72" spans="1:10" ht="12" thickBot="1">
      <c r="A72" s="6"/>
      <c r="B72" s="68"/>
      <c r="C72" s="6"/>
      <c r="D72" s="7"/>
      <c r="E72" s="17"/>
      <c r="F72" s="8"/>
      <c r="G72" s="8"/>
      <c r="H72" s="10" t="s">
        <v>10</v>
      </c>
      <c r="I72" s="10">
        <f>SUM(I67:I71)</f>
        <v>-22973.484</v>
      </c>
      <c r="J72" s="6"/>
    </row>
    <row r="73" spans="1:12" ht="11.25">
      <c r="A73" s="3" t="s">
        <v>34</v>
      </c>
      <c r="B73" s="14">
        <v>37921</v>
      </c>
      <c r="C73" s="59" t="s">
        <v>78</v>
      </c>
      <c r="D73" s="60" t="s">
        <v>32</v>
      </c>
      <c r="E73" s="61">
        <v>1000</v>
      </c>
      <c r="F73" s="62">
        <v>15.1</v>
      </c>
      <c r="G73" s="62">
        <f>(($E73*$F73)*0.0025)+22.4093625498008</f>
        <v>60.159362549800804</v>
      </c>
      <c r="H73" s="62">
        <f t="shared" si="1"/>
        <v>4.2111553784860565</v>
      </c>
      <c r="I73" s="62">
        <f t="shared" si="2"/>
        <v>15035.629482071714</v>
      </c>
      <c r="J73" s="65">
        <f>SUM(I73,I53)</f>
        <v>597.1094820717135</v>
      </c>
      <c r="L73" s="9"/>
    </row>
    <row r="74" spans="3:12" ht="11.25">
      <c r="C74" s="59" t="s">
        <v>79</v>
      </c>
      <c r="D74" s="60" t="s">
        <v>19</v>
      </c>
      <c r="E74" s="61">
        <v>2000</v>
      </c>
      <c r="F74" s="62">
        <v>5</v>
      </c>
      <c r="G74" s="62">
        <f>(($E74*$F74)*0.0025)+14.8406374501992</f>
        <v>39.840637450199196</v>
      </c>
      <c r="H74" s="62">
        <f t="shared" si="1"/>
        <v>2.788844621513944</v>
      </c>
      <c r="I74" s="62">
        <f t="shared" si="2"/>
        <v>-10042.629482071714</v>
      </c>
      <c r="L74" s="9"/>
    </row>
    <row r="75" spans="1:10" ht="12" thickBot="1">
      <c r="A75" s="6"/>
      <c r="B75" s="68"/>
      <c r="C75" s="6"/>
      <c r="D75" s="7"/>
      <c r="E75" s="17"/>
      <c r="F75" s="8"/>
      <c r="G75" s="8"/>
      <c r="H75" s="66" t="s">
        <v>17</v>
      </c>
      <c r="I75" s="66">
        <f>SUM(I73:I74)</f>
        <v>4993</v>
      </c>
      <c r="J75" s="6"/>
    </row>
    <row r="76" spans="1:9" ht="11.25">
      <c r="A76" s="3" t="s">
        <v>36</v>
      </c>
      <c r="B76" s="14">
        <v>37922</v>
      </c>
      <c r="C76" s="59" t="s">
        <v>73</v>
      </c>
      <c r="D76" s="60" t="s">
        <v>32</v>
      </c>
      <c r="E76" s="61">
        <v>5000</v>
      </c>
      <c r="F76" s="62">
        <v>7</v>
      </c>
      <c r="G76" s="62">
        <v>100</v>
      </c>
      <c r="H76" s="62">
        <f t="shared" si="1"/>
        <v>7.000000000000001</v>
      </c>
      <c r="I76" s="62">
        <f t="shared" si="2"/>
        <v>34893</v>
      </c>
    </row>
    <row r="77" spans="1:10" ht="12" thickBot="1">
      <c r="A77" s="6"/>
      <c r="B77" s="68"/>
      <c r="C77" s="6"/>
      <c r="D77" s="7"/>
      <c r="E77" s="17"/>
      <c r="F77" s="8"/>
      <c r="G77" s="8"/>
      <c r="H77" s="66" t="s">
        <v>17</v>
      </c>
      <c r="I77" s="66">
        <f>I76</f>
        <v>34893</v>
      </c>
      <c r="J77" s="6"/>
    </row>
    <row r="78" spans="1:9" ht="11.25">
      <c r="A78" s="3" t="s">
        <v>40</v>
      </c>
      <c r="B78" s="14">
        <v>37923</v>
      </c>
      <c r="C78" s="59" t="s">
        <v>81</v>
      </c>
      <c r="D78" s="60" t="s">
        <v>19</v>
      </c>
      <c r="E78" s="61">
        <v>1000</v>
      </c>
      <c r="F78" s="62">
        <v>25.5</v>
      </c>
      <c r="G78" s="62">
        <f>(($E78*$F78)*0.0025)</f>
        <v>63.75</v>
      </c>
      <c r="H78" s="62">
        <f t="shared" si="1"/>
        <v>4.4625</v>
      </c>
      <c r="I78" s="62">
        <f t="shared" si="2"/>
        <v>-25568.2125</v>
      </c>
    </row>
    <row r="79" spans="3:9" ht="11.25">
      <c r="C79" s="59" t="s">
        <v>71</v>
      </c>
      <c r="D79" s="60" t="s">
        <v>32</v>
      </c>
      <c r="E79" s="61">
        <v>500</v>
      </c>
      <c r="F79" s="62">
        <v>73</v>
      </c>
      <c r="G79" s="62">
        <f>(($E79*$F79)*0.0025)</f>
        <v>91.25</v>
      </c>
      <c r="H79" s="62">
        <f t="shared" si="1"/>
        <v>6.3875</v>
      </c>
      <c r="I79" s="62">
        <f t="shared" si="2"/>
        <v>36402.3625</v>
      </c>
    </row>
    <row r="80" spans="1:10" ht="12" thickBot="1">
      <c r="A80" s="6"/>
      <c r="B80" s="68"/>
      <c r="C80" s="6"/>
      <c r="D80" s="7"/>
      <c r="E80" s="17"/>
      <c r="F80" s="8"/>
      <c r="G80" s="8"/>
      <c r="H80" s="66" t="s">
        <v>17</v>
      </c>
      <c r="I80" s="66">
        <f>SUM(I78:I79)</f>
        <v>10834.150000000001</v>
      </c>
      <c r="J80" s="6"/>
    </row>
    <row r="81" spans="1:9" ht="11.25">
      <c r="A81" s="3" t="s">
        <v>27</v>
      </c>
      <c r="B81" s="14">
        <v>37924</v>
      </c>
      <c r="C81" s="59" t="s">
        <v>81</v>
      </c>
      <c r="D81" s="60" t="s">
        <v>32</v>
      </c>
      <c r="E81" s="61">
        <v>1000</v>
      </c>
      <c r="F81" s="62">
        <v>27.75</v>
      </c>
      <c r="G81" s="62">
        <f aca="true" t="shared" si="4" ref="G81:G146">(($E81*$F81)*0.0025)</f>
        <v>69.375</v>
      </c>
      <c r="H81" s="62">
        <f t="shared" si="1"/>
        <v>4.85625</v>
      </c>
      <c r="I81" s="62">
        <f t="shared" si="2"/>
        <v>27675.76875</v>
      </c>
    </row>
    <row r="82" spans="3:10" ht="11.25">
      <c r="C82" s="59" t="s">
        <v>81</v>
      </c>
      <c r="D82" s="60" t="s">
        <v>32</v>
      </c>
      <c r="E82" s="61">
        <v>1000</v>
      </c>
      <c r="F82" s="62">
        <v>26.75</v>
      </c>
      <c r="G82" s="62">
        <f t="shared" si="4"/>
        <v>66.875</v>
      </c>
      <c r="H82" s="62">
        <f t="shared" si="1"/>
        <v>4.68125</v>
      </c>
      <c r="I82" s="62">
        <f t="shared" si="2"/>
        <v>26678.44375</v>
      </c>
      <c r="J82" s="65">
        <f>SUM(I81:I82,I78,I62)</f>
        <v>3919.6599999999926</v>
      </c>
    </row>
    <row r="83" spans="3:9" ht="11.25">
      <c r="C83" s="59" t="s">
        <v>87</v>
      </c>
      <c r="D83" s="60" t="s">
        <v>19</v>
      </c>
      <c r="E83" s="61">
        <v>8000</v>
      </c>
      <c r="F83" s="62">
        <v>8</v>
      </c>
      <c r="G83" s="62">
        <f t="shared" si="4"/>
        <v>160</v>
      </c>
      <c r="H83" s="62">
        <f t="shared" si="1"/>
        <v>11.200000000000001</v>
      </c>
      <c r="I83" s="69">
        <f t="shared" si="2"/>
        <v>-64171.2</v>
      </c>
    </row>
    <row r="84" spans="3:9" ht="11.25">
      <c r="C84" s="59" t="s">
        <v>87</v>
      </c>
      <c r="D84" s="60" t="s">
        <v>32</v>
      </c>
      <c r="E84" s="61">
        <v>3000</v>
      </c>
      <c r="F84" s="62">
        <v>8.25</v>
      </c>
      <c r="G84" s="62">
        <f t="shared" si="4"/>
        <v>61.875</v>
      </c>
      <c r="H84" s="62">
        <f t="shared" si="1"/>
        <v>4.331250000000001</v>
      </c>
      <c r="I84" s="69">
        <f t="shared" si="2"/>
        <v>24683.79375</v>
      </c>
    </row>
    <row r="85" spans="3:9" ht="11.25">
      <c r="C85" s="59" t="s">
        <v>73</v>
      </c>
      <c r="D85" s="60" t="s">
        <v>19</v>
      </c>
      <c r="E85" s="61">
        <v>3000</v>
      </c>
      <c r="F85" s="62">
        <v>6.75</v>
      </c>
      <c r="G85" s="62">
        <f t="shared" si="4"/>
        <v>50.625</v>
      </c>
      <c r="H85" s="62">
        <f t="shared" si="1"/>
        <v>3.54375</v>
      </c>
      <c r="I85" s="69">
        <f t="shared" si="2"/>
        <v>-20304.16875</v>
      </c>
    </row>
    <row r="86" spans="3:9" ht="11.25">
      <c r="C86" s="59" t="s">
        <v>73</v>
      </c>
      <c r="D86" s="60" t="s">
        <v>19</v>
      </c>
      <c r="E86" s="61">
        <v>2000</v>
      </c>
      <c r="F86" s="62">
        <v>6.8</v>
      </c>
      <c r="G86" s="62">
        <f t="shared" si="4"/>
        <v>34</v>
      </c>
      <c r="H86" s="62">
        <f t="shared" si="1"/>
        <v>2.3800000000000003</v>
      </c>
      <c r="I86" s="69">
        <f t="shared" si="2"/>
        <v>-13636.38</v>
      </c>
    </row>
    <row r="87" spans="3:9" ht="11.25">
      <c r="C87" s="59" t="s">
        <v>88</v>
      </c>
      <c r="D87" s="60" t="s">
        <v>19</v>
      </c>
      <c r="E87" s="61">
        <v>1000</v>
      </c>
      <c r="F87" s="62">
        <v>25.5</v>
      </c>
      <c r="G87" s="62">
        <f t="shared" si="4"/>
        <v>63.75</v>
      </c>
      <c r="H87" s="62">
        <f t="shared" si="1"/>
        <v>4.4625</v>
      </c>
      <c r="I87" s="69">
        <f t="shared" si="2"/>
        <v>-25568.2125</v>
      </c>
    </row>
    <row r="88" spans="1:10" ht="12" thickBot="1">
      <c r="A88" s="6"/>
      <c r="B88" s="68"/>
      <c r="C88" s="6"/>
      <c r="D88" s="7"/>
      <c r="E88" s="17"/>
      <c r="F88" s="8"/>
      <c r="G88" s="8"/>
      <c r="H88" s="10" t="s">
        <v>10</v>
      </c>
      <c r="I88" s="10">
        <f>SUM(I81:I87)</f>
        <v>-44641.955</v>
      </c>
      <c r="J88" s="6"/>
    </row>
    <row r="89" spans="1:9" ht="11.25">
      <c r="A89" s="3" t="s">
        <v>31</v>
      </c>
      <c r="B89" s="14">
        <v>37925</v>
      </c>
      <c r="C89" s="59" t="s">
        <v>28</v>
      </c>
      <c r="D89" s="60" t="s">
        <v>19</v>
      </c>
      <c r="E89" s="61">
        <v>5000</v>
      </c>
      <c r="F89" s="62">
        <v>4.66</v>
      </c>
      <c r="G89" s="62">
        <f t="shared" si="4"/>
        <v>58.25</v>
      </c>
      <c r="H89" s="62">
        <f t="shared" si="1"/>
        <v>4.077500000000001</v>
      </c>
      <c r="I89" s="69">
        <f t="shared" si="2"/>
        <v>-23362.3275</v>
      </c>
    </row>
    <row r="90" spans="3:9" ht="11.25">
      <c r="C90" s="59" t="s">
        <v>28</v>
      </c>
      <c r="D90" s="60" t="s">
        <v>19</v>
      </c>
      <c r="E90" s="61">
        <v>5000</v>
      </c>
      <c r="F90" s="62">
        <v>4.7</v>
      </c>
      <c r="G90" s="62">
        <f t="shared" si="4"/>
        <v>58.75</v>
      </c>
      <c r="H90" s="62">
        <f t="shared" si="1"/>
        <v>4.112500000000001</v>
      </c>
      <c r="I90" s="69">
        <f t="shared" si="2"/>
        <v>-23562.8625</v>
      </c>
    </row>
    <row r="91" spans="3:9" ht="11.25">
      <c r="C91" s="59" t="s">
        <v>73</v>
      </c>
      <c r="D91" s="60" t="s">
        <v>32</v>
      </c>
      <c r="E91" s="61">
        <v>5000</v>
      </c>
      <c r="F91" s="62">
        <v>6.95</v>
      </c>
      <c r="G91" s="62">
        <f t="shared" si="4"/>
        <v>86.875</v>
      </c>
      <c r="H91" s="62">
        <f t="shared" si="1"/>
        <v>6.081250000000001</v>
      </c>
      <c r="I91" s="69">
        <f t="shared" si="2"/>
        <v>34657.04375</v>
      </c>
    </row>
    <row r="92" spans="3:9" ht="11.25">
      <c r="C92" s="59" t="s">
        <v>79</v>
      </c>
      <c r="D92" s="60" t="s">
        <v>19</v>
      </c>
      <c r="E92" s="61">
        <v>2000</v>
      </c>
      <c r="F92" s="62">
        <v>4.82</v>
      </c>
      <c r="G92" s="62">
        <f t="shared" si="4"/>
        <v>24.1</v>
      </c>
      <c r="H92" s="62">
        <f t="shared" si="1"/>
        <v>1.6870000000000003</v>
      </c>
      <c r="I92" s="69">
        <f t="shared" si="2"/>
        <v>-9665.787</v>
      </c>
    </row>
    <row r="93" spans="3:9" ht="11.25">
      <c r="C93" s="59" t="s">
        <v>87</v>
      </c>
      <c r="D93" s="60" t="s">
        <v>19</v>
      </c>
      <c r="E93" s="61">
        <v>2000</v>
      </c>
      <c r="F93" s="62">
        <v>8.1</v>
      </c>
      <c r="G93" s="62">
        <f t="shared" si="4"/>
        <v>40.5</v>
      </c>
      <c r="H93" s="62">
        <f t="shared" si="1"/>
        <v>2.8350000000000004</v>
      </c>
      <c r="I93" s="69">
        <f t="shared" si="2"/>
        <v>-16243.335</v>
      </c>
    </row>
    <row r="94" spans="3:10" ht="11.25">
      <c r="C94" s="59" t="s">
        <v>88</v>
      </c>
      <c r="D94" s="60" t="s">
        <v>32</v>
      </c>
      <c r="E94" s="61">
        <v>1000</v>
      </c>
      <c r="F94" s="62">
        <v>25.75</v>
      </c>
      <c r="G94" s="62">
        <f t="shared" si="4"/>
        <v>64.375</v>
      </c>
      <c r="H94" s="62">
        <f t="shared" si="1"/>
        <v>4.5062500000000005</v>
      </c>
      <c r="I94" s="69">
        <f t="shared" si="2"/>
        <v>25681.11875</v>
      </c>
      <c r="J94" s="65">
        <f>SUM(I94,I87)</f>
        <v>112.90625</v>
      </c>
    </row>
    <row r="95" spans="1:10" ht="12" thickBot="1">
      <c r="A95" s="6"/>
      <c r="B95" s="68"/>
      <c r="C95" s="6"/>
      <c r="D95" s="7"/>
      <c r="E95" s="17"/>
      <c r="F95" s="8"/>
      <c r="G95" s="8"/>
      <c r="H95" s="10" t="s">
        <v>10</v>
      </c>
      <c r="I95" s="10">
        <f>SUM(I89:I94)</f>
        <v>-12496.149500000007</v>
      </c>
      <c r="J95" s="6"/>
    </row>
    <row r="96" spans="1:9" ht="11.25">
      <c r="A96" s="3" t="s">
        <v>34</v>
      </c>
      <c r="B96" s="14">
        <v>37928</v>
      </c>
      <c r="C96" s="59" t="s">
        <v>91</v>
      </c>
      <c r="D96" s="60" t="s">
        <v>19</v>
      </c>
      <c r="E96" s="61">
        <v>5000</v>
      </c>
      <c r="F96" s="62">
        <v>3.52</v>
      </c>
      <c r="G96" s="62">
        <f t="shared" si="4"/>
        <v>44</v>
      </c>
      <c r="H96" s="62">
        <f t="shared" si="1"/>
        <v>3.08</v>
      </c>
      <c r="I96" s="69">
        <f t="shared" si="2"/>
        <v>-17647.08</v>
      </c>
    </row>
    <row r="97" spans="3:9" ht="11.25">
      <c r="C97" s="59" t="s">
        <v>91</v>
      </c>
      <c r="D97" s="60" t="s">
        <v>19</v>
      </c>
      <c r="E97" s="61">
        <v>5000</v>
      </c>
      <c r="F97" s="62">
        <v>3.56</v>
      </c>
      <c r="G97" s="62">
        <f t="shared" si="4"/>
        <v>44.5</v>
      </c>
      <c r="H97" s="62">
        <f t="shared" si="1"/>
        <v>3.115</v>
      </c>
      <c r="I97" s="69">
        <f t="shared" si="2"/>
        <v>-17847.615</v>
      </c>
    </row>
    <row r="98" spans="3:9" ht="11.25">
      <c r="C98" s="3" t="s">
        <v>92</v>
      </c>
      <c r="D98" s="4" t="s">
        <v>19</v>
      </c>
      <c r="E98" s="16">
        <v>2000</v>
      </c>
      <c r="F98" s="5">
        <v>15.2</v>
      </c>
      <c r="G98" s="5">
        <f t="shared" si="4"/>
        <v>76</v>
      </c>
      <c r="H98" s="5">
        <f t="shared" si="1"/>
        <v>5.32</v>
      </c>
      <c r="I98" s="15">
        <f t="shared" si="2"/>
        <v>-30481.32</v>
      </c>
    </row>
    <row r="99" spans="3:10" ht="11.25">
      <c r="C99" s="59" t="s">
        <v>79</v>
      </c>
      <c r="D99" s="60" t="s">
        <v>32</v>
      </c>
      <c r="E99" s="61">
        <v>5000</v>
      </c>
      <c r="F99" s="62">
        <v>5.05</v>
      </c>
      <c r="G99" s="62">
        <f t="shared" si="4"/>
        <v>63.125</v>
      </c>
      <c r="H99" s="62">
        <f>$G99*0.07</f>
        <v>4.41875</v>
      </c>
      <c r="I99" s="62">
        <f>IF($D99="B",(($E99*$F99)+$G99+$H99)*(-1),IF($D99="S",($E99*$F99)-$G99-$H99))</f>
        <v>25182.45625</v>
      </c>
      <c r="J99" s="3"/>
    </row>
    <row r="100" spans="1:10" ht="12" thickBot="1">
      <c r="A100" s="6"/>
      <c r="B100" s="68"/>
      <c r="C100" s="6"/>
      <c r="D100" s="7"/>
      <c r="E100" s="17"/>
      <c r="F100" s="8"/>
      <c r="G100" s="8"/>
      <c r="H100" s="10" t="s">
        <v>10</v>
      </c>
      <c r="I100" s="10">
        <f>SUM(I96:I99)</f>
        <v>-40793.55875000001</v>
      </c>
      <c r="J100" s="6"/>
    </row>
    <row r="101" spans="1:9" ht="11.25">
      <c r="A101" s="3" t="s">
        <v>36</v>
      </c>
      <c r="B101" s="14">
        <v>37929</v>
      </c>
      <c r="C101" s="3" t="s">
        <v>92</v>
      </c>
      <c r="D101" s="4" t="s">
        <v>19</v>
      </c>
      <c r="E101" s="16">
        <v>2000</v>
      </c>
      <c r="F101" s="5">
        <v>14.6</v>
      </c>
      <c r="G101" s="5">
        <f t="shared" si="4"/>
        <v>73</v>
      </c>
      <c r="H101" s="5">
        <f>$G101*0.07</f>
        <v>5.11</v>
      </c>
      <c r="I101" s="5">
        <f>IF($D101="B",(($E101*$F101)+$G101+$H101)*(-1),IF($D101="S",($E101*$F101)-$G101-$H101))</f>
        <v>-29278.11</v>
      </c>
    </row>
    <row r="102" spans="3:9" ht="11.25">
      <c r="C102" s="59" t="s">
        <v>71</v>
      </c>
      <c r="D102" s="60" t="s">
        <v>19</v>
      </c>
      <c r="E102" s="61">
        <v>500</v>
      </c>
      <c r="F102" s="62">
        <v>72</v>
      </c>
      <c r="G102" s="62">
        <f t="shared" si="4"/>
        <v>90</v>
      </c>
      <c r="H102" s="62">
        <f>$G102*0.07</f>
        <v>6.300000000000001</v>
      </c>
      <c r="I102" s="62">
        <f>IF($D102="B",(($E102*$F102)+$G102+$H102)*(-1),IF($D102="S",($E102*$F102)-$G102-$H102))</f>
        <v>-36096.3</v>
      </c>
    </row>
    <row r="103" spans="3:9" ht="11.25">
      <c r="C103" s="59" t="s">
        <v>71</v>
      </c>
      <c r="D103" s="60" t="s">
        <v>32</v>
      </c>
      <c r="E103" s="61">
        <v>500</v>
      </c>
      <c r="F103" s="62">
        <v>75</v>
      </c>
      <c r="G103" s="62">
        <f t="shared" si="4"/>
        <v>93.75</v>
      </c>
      <c r="H103" s="62">
        <f>$G103*0.07</f>
        <v>6.562500000000001</v>
      </c>
      <c r="I103" s="62">
        <f>IF($D103="B",(($E103*$F103)+$G103+$H103)*(-1),IF($D103="S",($E103*$F103)-$G103-$H103))</f>
        <v>37399.6875</v>
      </c>
    </row>
    <row r="104" spans="3:10" ht="11.25">
      <c r="C104" s="59" t="s">
        <v>91</v>
      </c>
      <c r="D104" s="60" t="s">
        <v>32</v>
      </c>
      <c r="E104" s="61">
        <v>10000</v>
      </c>
      <c r="F104" s="62">
        <v>3.62</v>
      </c>
      <c r="G104" s="62">
        <f t="shared" si="4"/>
        <v>90.5</v>
      </c>
      <c r="H104" s="62">
        <f>$G104*0.07</f>
        <v>6.335000000000001</v>
      </c>
      <c r="I104" s="62">
        <f>IF($D104="B",(($E104*$F104)+$G104+$H104)*(-1),IF($D104="S",($E104*$F104)-$G104-$H104))</f>
        <v>36103.165</v>
      </c>
      <c r="J104" s="65">
        <f>SUM(I104,I96:I97)</f>
        <v>608.4699999999975</v>
      </c>
    </row>
    <row r="105" spans="1:10" ht="12" thickBot="1">
      <c r="A105" s="6"/>
      <c r="B105" s="68"/>
      <c r="C105" s="6"/>
      <c r="D105" s="7"/>
      <c r="E105" s="17"/>
      <c r="F105" s="8"/>
      <c r="G105" s="8"/>
      <c r="H105" s="66" t="s">
        <v>17</v>
      </c>
      <c r="I105" s="66">
        <f>SUM(I101:I104)</f>
        <v>8128.442499999997</v>
      </c>
      <c r="J105" s="6"/>
    </row>
    <row r="106" spans="1:9" ht="11.25">
      <c r="A106" s="3" t="s">
        <v>40</v>
      </c>
      <c r="B106" s="14">
        <v>37930</v>
      </c>
      <c r="C106" s="59" t="s">
        <v>28</v>
      </c>
      <c r="D106" s="60" t="s">
        <v>19</v>
      </c>
      <c r="E106" s="61">
        <v>5000</v>
      </c>
      <c r="F106" s="62">
        <v>4.62</v>
      </c>
      <c r="G106" s="62">
        <f t="shared" si="4"/>
        <v>57.75</v>
      </c>
      <c r="H106" s="62">
        <f>$G106*0.07</f>
        <v>4.0425</v>
      </c>
      <c r="I106" s="62">
        <f>IF($D106="B",(($E106*$F106)+$G106+$H106)*(-1),IF($D106="S",($E106*$F106)-$G106-$H106))</f>
        <v>-23161.7925</v>
      </c>
    </row>
    <row r="107" spans="3:9" ht="11.25">
      <c r="C107" s="59" t="s">
        <v>28</v>
      </c>
      <c r="D107" s="60" t="s">
        <v>32</v>
      </c>
      <c r="E107" s="61">
        <v>5000</v>
      </c>
      <c r="F107" s="62">
        <v>4.58</v>
      </c>
      <c r="G107" s="62">
        <f t="shared" si="4"/>
        <v>57.25</v>
      </c>
      <c r="H107" s="62">
        <f>$G107*0.07</f>
        <v>4.0075</v>
      </c>
      <c r="I107" s="62">
        <f>IF($D107="B",(($E107*$F107)+$G107+$H107)*(-1),IF($D107="S",($E107*$F107)-$G107-$H107))</f>
        <v>22838.7425</v>
      </c>
    </row>
    <row r="108" spans="3:9" ht="11.25">
      <c r="C108" s="59" t="s">
        <v>87</v>
      </c>
      <c r="D108" s="60" t="s">
        <v>19</v>
      </c>
      <c r="E108" s="61">
        <v>1000</v>
      </c>
      <c r="F108" s="62">
        <v>8.1</v>
      </c>
      <c r="G108" s="62">
        <f t="shared" si="4"/>
        <v>20.25</v>
      </c>
      <c r="H108" s="62">
        <f>$G108*0.07</f>
        <v>1.4175000000000002</v>
      </c>
      <c r="I108" s="62">
        <f>IF($D108="B",(($E108*$F108)+$G108+$H108)*(-1),IF($D108="S",($E108*$F108)-$G108-$H108))</f>
        <v>-8121.6675</v>
      </c>
    </row>
    <row r="109" spans="3:9" ht="11.25">
      <c r="C109" s="59" t="s">
        <v>87</v>
      </c>
      <c r="D109" s="60" t="s">
        <v>32</v>
      </c>
      <c r="E109" s="61">
        <v>2000</v>
      </c>
      <c r="F109" s="62">
        <v>8.1</v>
      </c>
      <c r="G109" s="62">
        <f t="shared" si="4"/>
        <v>40.5</v>
      </c>
      <c r="H109" s="62">
        <f>$G109*0.07</f>
        <v>2.8350000000000004</v>
      </c>
      <c r="I109" s="62">
        <f>IF($D109="B",(($E109*$F109)+$G109+$H109)*(-1),IF($D109="S",($E109*$F109)-$G109-$H109))</f>
        <v>16156.665</v>
      </c>
    </row>
    <row r="110" spans="3:9" ht="11.25">
      <c r="C110" s="3" t="s">
        <v>91</v>
      </c>
      <c r="D110" s="4" t="s">
        <v>19</v>
      </c>
      <c r="E110" s="16">
        <v>7000</v>
      </c>
      <c r="F110" s="5">
        <v>3.42</v>
      </c>
      <c r="G110" s="5">
        <f t="shared" si="4"/>
        <v>59.85</v>
      </c>
      <c r="H110" s="5">
        <f>$G110*0.07</f>
        <v>4.189500000000001</v>
      </c>
      <c r="I110" s="5">
        <f>IF($D110="B",(($E110*$F110)+$G110+$H110)*(-1),IF($D110="S",($E110*$F110)-$G110-$H110))</f>
        <v>-24004.0395</v>
      </c>
    </row>
    <row r="111" spans="1:10" ht="12" thickBot="1">
      <c r="A111" s="6"/>
      <c r="B111" s="68"/>
      <c r="C111" s="6"/>
      <c r="D111" s="7"/>
      <c r="E111" s="17"/>
      <c r="F111" s="8"/>
      <c r="G111" s="8"/>
      <c r="H111" s="10" t="s">
        <v>10</v>
      </c>
      <c r="I111" s="10">
        <f>SUM(I106:I110)</f>
        <v>-16292.091999999997</v>
      </c>
      <c r="J111" s="6"/>
    </row>
    <row r="112" spans="1:10" ht="11.25">
      <c r="A112" s="3" t="s">
        <v>27</v>
      </c>
      <c r="B112" s="14">
        <v>37931</v>
      </c>
      <c r="C112" s="59" t="s">
        <v>87</v>
      </c>
      <c r="D112" s="60" t="s">
        <v>32</v>
      </c>
      <c r="E112" s="61">
        <v>6000</v>
      </c>
      <c r="F112" s="62">
        <v>8.2</v>
      </c>
      <c r="G112" s="62">
        <f t="shared" si="4"/>
        <v>122.99999999999999</v>
      </c>
      <c r="H112" s="62">
        <f>$G112*0.07</f>
        <v>8.61</v>
      </c>
      <c r="I112" s="62">
        <f>IF($D112="B",(($E112*$F112)+$G112+$H112)*(-1),IF($D112="S",($E112*$F112)-$G112-$H112))</f>
        <v>49068.38999999999</v>
      </c>
      <c r="J112" s="65">
        <f>SUM(I112,I108:I109,I93,I83:I84,)</f>
        <v>1372.6462499999943</v>
      </c>
    </row>
    <row r="113" spans="3:9" ht="11.25">
      <c r="C113" s="3" t="s">
        <v>87</v>
      </c>
      <c r="D113" s="4" t="s">
        <v>19</v>
      </c>
      <c r="E113" s="16">
        <v>7000</v>
      </c>
      <c r="F113" s="5">
        <v>8.1</v>
      </c>
      <c r="G113" s="5">
        <f t="shared" si="4"/>
        <v>141.75</v>
      </c>
      <c r="H113" s="5">
        <f>$G113*0.07</f>
        <v>9.922500000000001</v>
      </c>
      <c r="I113" s="5">
        <f>IF($D113="B",(($E113*$F113)+$G113+$H113)*(-1),IF($D113="S",($E113*$F113)-$G113-$H113))</f>
        <v>-56851.6725</v>
      </c>
    </row>
    <row r="114" spans="3:9" ht="11.25">
      <c r="C114" s="3" t="s">
        <v>76</v>
      </c>
      <c r="D114" s="4" t="s">
        <v>19</v>
      </c>
      <c r="E114" s="16">
        <v>300</v>
      </c>
      <c r="F114" s="5">
        <v>43.25</v>
      </c>
      <c r="G114" s="5">
        <f t="shared" si="4"/>
        <v>32.4375</v>
      </c>
      <c r="H114" s="5">
        <f>$G114*0.07</f>
        <v>2.2706250000000003</v>
      </c>
      <c r="I114" s="5">
        <f>IF($D114="B",(($E114*$F114)+$G114+$H114)*(-1),IF($D114="S",($E114*$F114)-$G114-$H114))</f>
        <v>-13009.708125</v>
      </c>
    </row>
    <row r="115" spans="3:10" ht="11.25">
      <c r="C115" s="3" t="s">
        <v>92</v>
      </c>
      <c r="D115" s="4" t="s">
        <v>32</v>
      </c>
      <c r="E115" s="16">
        <v>2000</v>
      </c>
      <c r="F115" s="5">
        <v>14.8</v>
      </c>
      <c r="G115" s="5">
        <f t="shared" si="4"/>
        <v>74</v>
      </c>
      <c r="H115" s="5">
        <f>$G115*0.07</f>
        <v>5.180000000000001</v>
      </c>
      <c r="I115" s="5">
        <f>IF($D115="B",(($E115*$F115)+$G115+$H115)*(-1),IF($D115="S",($E115*$F115)-$G115-$H115))</f>
        <v>29520.82</v>
      </c>
      <c r="J115" s="3"/>
    </row>
    <row r="116" spans="1:10" ht="12" thickBot="1">
      <c r="A116" s="6"/>
      <c r="B116" s="68"/>
      <c r="C116" s="6"/>
      <c r="D116" s="7"/>
      <c r="E116" s="17"/>
      <c r="F116" s="8"/>
      <c r="G116" s="8"/>
      <c r="H116" s="66" t="s">
        <v>17</v>
      </c>
      <c r="I116" s="66">
        <f>SUM(I112:I115)</f>
        <v>8727.829374999994</v>
      </c>
      <c r="J116" s="6"/>
    </row>
    <row r="117" spans="1:9" ht="11.25">
      <c r="A117" s="3" t="s">
        <v>31</v>
      </c>
      <c r="B117" s="14">
        <v>37932</v>
      </c>
      <c r="C117" s="3" t="s">
        <v>97</v>
      </c>
      <c r="D117" s="4" t="s">
        <v>19</v>
      </c>
      <c r="E117" s="16">
        <v>1000</v>
      </c>
      <c r="F117" s="5">
        <v>18.1</v>
      </c>
      <c r="G117" s="5">
        <f t="shared" si="4"/>
        <v>45.25</v>
      </c>
      <c r="H117" s="5">
        <f aca="true" t="shared" si="5" ref="H117:H195">$G117*0.07</f>
        <v>3.1675000000000004</v>
      </c>
      <c r="I117" s="5">
        <f aca="true" t="shared" si="6" ref="I117:I195">IF($D117="B",(($E117*$F117)+$G117+$H117)*(-1),IF($D117="S",($E117*$F117)-$G117-$H117))</f>
        <v>-18148.4175</v>
      </c>
    </row>
    <row r="118" spans="3:9" ht="11.25">
      <c r="C118" s="3" t="s">
        <v>76</v>
      </c>
      <c r="D118" s="4" t="s">
        <v>19</v>
      </c>
      <c r="E118" s="16">
        <v>200</v>
      </c>
      <c r="F118" s="5">
        <v>43.5</v>
      </c>
      <c r="G118" s="5">
        <f t="shared" si="4"/>
        <v>21.75</v>
      </c>
      <c r="H118" s="5">
        <f t="shared" si="5"/>
        <v>1.5225000000000002</v>
      </c>
      <c r="I118" s="5">
        <f t="shared" si="6"/>
        <v>-8723.2725</v>
      </c>
    </row>
    <row r="119" spans="3:9" ht="11.25">
      <c r="C119" s="3" t="s">
        <v>76</v>
      </c>
      <c r="D119" s="4" t="s">
        <v>19</v>
      </c>
      <c r="E119" s="16">
        <v>500</v>
      </c>
      <c r="F119" s="5">
        <v>41.75</v>
      </c>
      <c r="G119" s="5">
        <f t="shared" si="4"/>
        <v>52.1875</v>
      </c>
      <c r="H119" s="5">
        <f t="shared" si="5"/>
        <v>3.653125</v>
      </c>
      <c r="I119" s="5">
        <f t="shared" si="6"/>
        <v>-20930.840625</v>
      </c>
    </row>
    <row r="120" spans="3:9" ht="11.25">
      <c r="C120" s="3" t="s">
        <v>76</v>
      </c>
      <c r="D120" s="4" t="s">
        <v>19</v>
      </c>
      <c r="E120" s="16">
        <v>200</v>
      </c>
      <c r="F120" s="5">
        <v>41.5</v>
      </c>
      <c r="G120" s="5">
        <f t="shared" si="4"/>
        <v>20.75</v>
      </c>
      <c r="H120" s="5">
        <f t="shared" si="5"/>
        <v>1.4525000000000001</v>
      </c>
      <c r="I120" s="5">
        <f t="shared" si="6"/>
        <v>-8322.2025</v>
      </c>
    </row>
    <row r="121" spans="3:9" ht="11.25">
      <c r="C121" s="3" t="s">
        <v>92</v>
      </c>
      <c r="D121" s="4" t="s">
        <v>19</v>
      </c>
      <c r="E121" s="16">
        <v>1000</v>
      </c>
      <c r="F121" s="5">
        <v>14.2</v>
      </c>
      <c r="G121" s="5">
        <f t="shared" si="4"/>
        <v>35.5</v>
      </c>
      <c r="H121" s="5">
        <f t="shared" si="5"/>
        <v>2.4850000000000003</v>
      </c>
      <c r="I121" s="5">
        <f t="shared" si="6"/>
        <v>-14237.985</v>
      </c>
    </row>
    <row r="122" spans="3:9" ht="11.25">
      <c r="C122" s="3" t="s">
        <v>87</v>
      </c>
      <c r="D122" s="4" t="s">
        <v>19</v>
      </c>
      <c r="E122" s="16">
        <v>1000</v>
      </c>
      <c r="F122" s="5">
        <v>8.15</v>
      </c>
      <c r="G122" s="5">
        <f t="shared" si="4"/>
        <v>20.375</v>
      </c>
      <c r="H122" s="5">
        <f t="shared" si="5"/>
        <v>1.4262500000000002</v>
      </c>
      <c r="I122" s="5">
        <f t="shared" si="6"/>
        <v>-8171.80125</v>
      </c>
    </row>
    <row r="123" spans="3:9" ht="11.25">
      <c r="C123" s="59" t="s">
        <v>73</v>
      </c>
      <c r="D123" s="60" t="s">
        <v>32</v>
      </c>
      <c r="E123" s="61">
        <v>3000</v>
      </c>
      <c r="F123" s="62">
        <v>6.7</v>
      </c>
      <c r="G123" s="62">
        <f t="shared" si="4"/>
        <v>50.25</v>
      </c>
      <c r="H123" s="62">
        <f t="shared" si="5"/>
        <v>3.5175000000000005</v>
      </c>
      <c r="I123" s="62">
        <f t="shared" si="6"/>
        <v>20046.2325</v>
      </c>
    </row>
    <row r="124" spans="3:10" ht="11.25">
      <c r="C124" s="59" t="s">
        <v>73</v>
      </c>
      <c r="D124" s="60" t="s">
        <v>32</v>
      </c>
      <c r="E124" s="61">
        <v>2000</v>
      </c>
      <c r="F124" s="62">
        <v>6.65</v>
      </c>
      <c r="G124" s="62">
        <f t="shared" si="4"/>
        <v>33.25</v>
      </c>
      <c r="H124" s="62">
        <f t="shared" si="5"/>
        <v>2.3275</v>
      </c>
      <c r="I124" s="62">
        <f t="shared" si="6"/>
        <v>13264.4225</v>
      </c>
      <c r="J124" s="65">
        <f>SUM(I123:I124,I91,I85:I86,I76,I69,I63:I64,I54,I46:I47,)</f>
        <v>738.2499999999964</v>
      </c>
    </row>
    <row r="125" spans="3:9" ht="11.25">
      <c r="C125" s="59" t="s">
        <v>79</v>
      </c>
      <c r="D125" s="60" t="s">
        <v>32</v>
      </c>
      <c r="E125" s="61">
        <v>3000</v>
      </c>
      <c r="F125" s="62">
        <v>4.74</v>
      </c>
      <c r="G125" s="62">
        <f t="shared" si="4"/>
        <v>35.550000000000004</v>
      </c>
      <c r="H125" s="62">
        <f t="shared" si="5"/>
        <v>2.4885000000000006</v>
      </c>
      <c r="I125" s="62">
        <f t="shared" si="6"/>
        <v>14181.961500000001</v>
      </c>
    </row>
    <row r="126" spans="1:10" ht="12" thickBot="1">
      <c r="A126" s="6"/>
      <c r="B126" s="68"/>
      <c r="C126" s="6"/>
      <c r="D126" s="7"/>
      <c r="E126" s="17"/>
      <c r="F126" s="8"/>
      <c r="G126" s="8"/>
      <c r="H126" s="10" t="s">
        <v>10</v>
      </c>
      <c r="I126" s="10">
        <f>SUM(I117:I125)</f>
        <v>-31041.902875000003</v>
      </c>
      <c r="J126" s="6"/>
    </row>
    <row r="127" spans="1:9" ht="11.25">
      <c r="A127" s="3" t="s">
        <v>34</v>
      </c>
      <c r="B127" s="14">
        <v>37935</v>
      </c>
      <c r="C127" s="3" t="s">
        <v>92</v>
      </c>
      <c r="D127" s="4" t="s">
        <v>19</v>
      </c>
      <c r="E127" s="16">
        <v>1000</v>
      </c>
      <c r="F127" s="5">
        <v>14.3</v>
      </c>
      <c r="G127" s="5">
        <f t="shared" si="4"/>
        <v>35.75</v>
      </c>
      <c r="H127" s="5">
        <f t="shared" si="5"/>
        <v>2.5025000000000004</v>
      </c>
      <c r="I127" s="5">
        <f t="shared" si="6"/>
        <v>-14338.2525</v>
      </c>
    </row>
    <row r="128" spans="3:9" ht="11.25">
      <c r="C128" s="3" t="s">
        <v>87</v>
      </c>
      <c r="D128" s="4" t="s">
        <v>32</v>
      </c>
      <c r="E128" s="16">
        <v>5000</v>
      </c>
      <c r="F128" s="5">
        <v>8.7</v>
      </c>
      <c r="G128" s="5">
        <f t="shared" si="4"/>
        <v>108.75</v>
      </c>
      <c r="H128" s="5">
        <f t="shared" si="5"/>
        <v>7.612500000000001</v>
      </c>
      <c r="I128" s="5">
        <f t="shared" si="6"/>
        <v>43383.6375</v>
      </c>
    </row>
    <row r="129" spans="3:9" ht="11.25">
      <c r="C129" s="3" t="s">
        <v>76</v>
      </c>
      <c r="D129" s="4" t="s">
        <v>32</v>
      </c>
      <c r="E129" s="16">
        <v>700</v>
      </c>
      <c r="F129" s="5">
        <v>43</v>
      </c>
      <c r="G129" s="5">
        <f t="shared" si="4"/>
        <v>75.25</v>
      </c>
      <c r="H129" s="5">
        <f t="shared" si="5"/>
        <v>5.2675</v>
      </c>
      <c r="I129" s="5">
        <f t="shared" si="6"/>
        <v>30019.4825</v>
      </c>
    </row>
    <row r="130" spans="3:10" ht="11.25">
      <c r="C130" s="59" t="s">
        <v>79</v>
      </c>
      <c r="D130" s="60" t="s">
        <v>32</v>
      </c>
      <c r="E130" s="61">
        <v>2000</v>
      </c>
      <c r="F130" s="62">
        <v>4.74</v>
      </c>
      <c r="G130" s="62">
        <f t="shared" si="4"/>
        <v>23.7</v>
      </c>
      <c r="H130" s="62">
        <f t="shared" si="5"/>
        <v>1.659</v>
      </c>
      <c r="I130" s="62">
        <f t="shared" si="6"/>
        <v>9454.641</v>
      </c>
      <c r="J130" s="95">
        <f>SUM(I130,I125,I99,I92,I74,I70:I71,)</f>
        <v>-1200.2229820717148</v>
      </c>
    </row>
    <row r="131" spans="1:10" ht="12" thickBot="1">
      <c r="A131" s="6"/>
      <c r="B131" s="68"/>
      <c r="C131" s="6"/>
      <c r="D131" s="7"/>
      <c r="E131" s="17"/>
      <c r="F131" s="8"/>
      <c r="G131" s="8"/>
      <c r="H131" s="66" t="s">
        <v>17</v>
      </c>
      <c r="I131" s="66">
        <f>SUM(I127:I130)</f>
        <v>68519.5085</v>
      </c>
      <c r="J131" s="6"/>
    </row>
    <row r="132" spans="1:9" ht="11.25">
      <c r="A132" s="3" t="s">
        <v>36</v>
      </c>
      <c r="B132" s="14">
        <v>37936</v>
      </c>
      <c r="C132" s="59" t="s">
        <v>37</v>
      </c>
      <c r="D132" s="60" t="s">
        <v>19</v>
      </c>
      <c r="E132" s="61">
        <v>3000</v>
      </c>
      <c r="F132" s="62">
        <v>4.92</v>
      </c>
      <c r="G132" s="62">
        <f t="shared" si="4"/>
        <v>36.9</v>
      </c>
      <c r="H132" s="62">
        <f t="shared" si="5"/>
        <v>2.583</v>
      </c>
      <c r="I132" s="62">
        <f t="shared" si="6"/>
        <v>-14799.483</v>
      </c>
    </row>
    <row r="133" spans="3:9" ht="11.25">
      <c r="C133" s="59" t="s">
        <v>37</v>
      </c>
      <c r="D133" s="60" t="s">
        <v>19</v>
      </c>
      <c r="E133" s="61">
        <v>5000</v>
      </c>
      <c r="F133" s="62">
        <v>4.8</v>
      </c>
      <c r="G133" s="62">
        <f t="shared" si="4"/>
        <v>60</v>
      </c>
      <c r="H133" s="62">
        <f t="shared" si="5"/>
        <v>4.2</v>
      </c>
      <c r="I133" s="62">
        <f t="shared" si="6"/>
        <v>-24064.2</v>
      </c>
    </row>
    <row r="134" spans="3:9" ht="11.25">
      <c r="C134" s="59" t="s">
        <v>71</v>
      </c>
      <c r="D134" s="60" t="s">
        <v>19</v>
      </c>
      <c r="E134" s="61">
        <v>400</v>
      </c>
      <c r="F134" s="62">
        <v>73</v>
      </c>
      <c r="G134" s="62">
        <f t="shared" si="4"/>
        <v>73</v>
      </c>
      <c r="H134" s="62">
        <f t="shared" si="5"/>
        <v>5.11</v>
      </c>
      <c r="I134" s="62">
        <f t="shared" si="6"/>
        <v>-29278.11</v>
      </c>
    </row>
    <row r="135" spans="3:9" ht="11.25">
      <c r="C135" s="59" t="s">
        <v>71</v>
      </c>
      <c r="D135" s="60" t="s">
        <v>19</v>
      </c>
      <c r="E135" s="61">
        <v>100</v>
      </c>
      <c r="F135" s="62">
        <v>74</v>
      </c>
      <c r="G135" s="62">
        <f t="shared" si="4"/>
        <v>18.5</v>
      </c>
      <c r="H135" s="62">
        <f t="shared" si="5"/>
        <v>1.2950000000000002</v>
      </c>
      <c r="I135" s="62">
        <f t="shared" si="6"/>
        <v>-7419.795</v>
      </c>
    </row>
    <row r="136" spans="1:10" ht="12" thickBot="1">
      <c r="A136" s="6"/>
      <c r="B136" s="68"/>
      <c r="C136" s="6"/>
      <c r="D136" s="7"/>
      <c r="E136" s="17"/>
      <c r="F136" s="8"/>
      <c r="G136" s="8"/>
      <c r="H136" s="10" t="s">
        <v>10</v>
      </c>
      <c r="I136" s="10">
        <f>SUM(I132:I135)</f>
        <v>-75561.588</v>
      </c>
      <c r="J136" s="6"/>
    </row>
    <row r="137" spans="1:9" ht="11.25">
      <c r="A137" s="3" t="s">
        <v>40</v>
      </c>
      <c r="B137" s="14">
        <v>37937</v>
      </c>
      <c r="C137" s="3" t="s">
        <v>87</v>
      </c>
      <c r="D137" s="4" t="s">
        <v>19</v>
      </c>
      <c r="E137" s="16">
        <v>4000</v>
      </c>
      <c r="F137" s="5">
        <v>8.25</v>
      </c>
      <c r="G137" s="5">
        <f t="shared" si="4"/>
        <v>82.5</v>
      </c>
      <c r="H137" s="5">
        <f t="shared" si="5"/>
        <v>5.775</v>
      </c>
      <c r="I137" s="5">
        <f t="shared" si="6"/>
        <v>-33088.275</v>
      </c>
    </row>
    <row r="138" spans="3:9" ht="11.25">
      <c r="C138" s="3" t="s">
        <v>87</v>
      </c>
      <c r="D138" s="4" t="s">
        <v>19</v>
      </c>
      <c r="E138" s="16">
        <v>1000</v>
      </c>
      <c r="F138" s="5">
        <v>8.15</v>
      </c>
      <c r="G138" s="5">
        <f t="shared" si="4"/>
        <v>20.375</v>
      </c>
      <c r="H138" s="5">
        <f t="shared" si="5"/>
        <v>1.4262500000000002</v>
      </c>
      <c r="I138" s="5">
        <f t="shared" si="6"/>
        <v>-8171.80125</v>
      </c>
    </row>
    <row r="139" spans="3:9" ht="11.25">
      <c r="C139" s="3" t="s">
        <v>87</v>
      </c>
      <c r="D139" s="4" t="s">
        <v>19</v>
      </c>
      <c r="E139" s="16">
        <v>1000</v>
      </c>
      <c r="F139" s="5">
        <v>8.1</v>
      </c>
      <c r="G139" s="5">
        <f t="shared" si="4"/>
        <v>20.25</v>
      </c>
      <c r="H139" s="5">
        <f t="shared" si="5"/>
        <v>1.4175000000000002</v>
      </c>
      <c r="I139" s="5">
        <f t="shared" si="6"/>
        <v>-8121.6675</v>
      </c>
    </row>
    <row r="140" spans="3:9" ht="11.25">
      <c r="C140" s="3" t="s">
        <v>76</v>
      </c>
      <c r="D140" s="4" t="s">
        <v>32</v>
      </c>
      <c r="E140" s="16">
        <v>500</v>
      </c>
      <c r="F140" s="5">
        <v>44.25</v>
      </c>
      <c r="G140" s="5">
        <f t="shared" si="4"/>
        <v>55.3125</v>
      </c>
      <c r="H140" s="5">
        <f t="shared" si="5"/>
        <v>3.871875</v>
      </c>
      <c r="I140" s="5">
        <f t="shared" si="6"/>
        <v>22065.815625</v>
      </c>
    </row>
    <row r="141" spans="3:9" ht="11.25">
      <c r="C141" s="59" t="s">
        <v>71</v>
      </c>
      <c r="D141" s="60" t="s">
        <v>32</v>
      </c>
      <c r="E141" s="61">
        <v>500</v>
      </c>
      <c r="F141" s="62">
        <v>76.5</v>
      </c>
      <c r="G141" s="62">
        <f t="shared" si="4"/>
        <v>95.625</v>
      </c>
      <c r="H141" s="62">
        <f t="shared" si="5"/>
        <v>6.6937500000000005</v>
      </c>
      <c r="I141" s="62">
        <f t="shared" si="6"/>
        <v>38147.68125</v>
      </c>
    </row>
    <row r="142" spans="3:10" ht="11.25">
      <c r="C142" s="59" t="s">
        <v>71</v>
      </c>
      <c r="D142" s="60" t="s">
        <v>19</v>
      </c>
      <c r="E142" s="61">
        <v>500</v>
      </c>
      <c r="F142" s="62">
        <v>75.5</v>
      </c>
      <c r="G142" s="62">
        <f t="shared" si="4"/>
        <v>94.375</v>
      </c>
      <c r="H142" s="62">
        <f t="shared" si="5"/>
        <v>6.606250000000001</v>
      </c>
      <c r="I142" s="62">
        <f t="shared" si="6"/>
        <v>-37850.98125</v>
      </c>
      <c r="J142" s="9"/>
    </row>
    <row r="143" spans="3:10" ht="11.25">
      <c r="C143" s="59" t="s">
        <v>37</v>
      </c>
      <c r="D143" s="60" t="s">
        <v>32</v>
      </c>
      <c r="E143" s="61">
        <v>8000</v>
      </c>
      <c r="F143" s="62">
        <v>5.05</v>
      </c>
      <c r="G143" s="62">
        <f t="shared" si="4"/>
        <v>101</v>
      </c>
      <c r="H143" s="62">
        <f t="shared" si="5"/>
        <v>7.07</v>
      </c>
      <c r="I143" s="62">
        <f t="shared" si="6"/>
        <v>40291.93</v>
      </c>
      <c r="J143" s="65">
        <f>SUM(I143,I132:I133)</f>
        <v>1428.2469999999994</v>
      </c>
    </row>
    <row r="144" spans="3:9" ht="11.25">
      <c r="C144" s="3" t="s">
        <v>101</v>
      </c>
      <c r="D144" s="4" t="s">
        <v>19</v>
      </c>
      <c r="E144" s="16">
        <v>600</v>
      </c>
      <c r="F144" s="5">
        <v>47.25</v>
      </c>
      <c r="G144" s="5">
        <f t="shared" si="4"/>
        <v>70.875</v>
      </c>
      <c r="H144" s="5">
        <f t="shared" si="5"/>
        <v>4.961250000000001</v>
      </c>
      <c r="I144" s="5">
        <f t="shared" si="6"/>
        <v>-28425.83625</v>
      </c>
    </row>
    <row r="145" spans="1:10" ht="12" thickBot="1">
      <c r="A145" s="6"/>
      <c r="B145" s="68"/>
      <c r="C145" s="6"/>
      <c r="D145" s="7"/>
      <c r="E145" s="17"/>
      <c r="F145" s="8"/>
      <c r="G145" s="8"/>
      <c r="H145" s="10" t="s">
        <v>10</v>
      </c>
      <c r="I145" s="10">
        <f>SUM(I137:I144)</f>
        <v>-15153.13437499999</v>
      </c>
      <c r="J145" s="6"/>
    </row>
    <row r="146" spans="1:9" ht="11.25">
      <c r="A146" s="3" t="s">
        <v>27</v>
      </c>
      <c r="B146" s="14">
        <v>37938</v>
      </c>
      <c r="C146" s="3" t="s">
        <v>101</v>
      </c>
      <c r="D146" s="4" t="s">
        <v>19</v>
      </c>
      <c r="E146" s="16">
        <v>100</v>
      </c>
      <c r="F146" s="5">
        <v>48.25</v>
      </c>
      <c r="G146" s="5">
        <f t="shared" si="4"/>
        <v>12.0625</v>
      </c>
      <c r="H146" s="5">
        <f t="shared" si="5"/>
        <v>0.8443750000000001</v>
      </c>
      <c r="I146" s="5">
        <f t="shared" si="6"/>
        <v>-4837.906875</v>
      </c>
    </row>
    <row r="147" spans="3:9" ht="11.25">
      <c r="C147" s="59" t="s">
        <v>71</v>
      </c>
      <c r="D147" s="60" t="s">
        <v>19</v>
      </c>
      <c r="E147" s="61">
        <v>300</v>
      </c>
      <c r="F147" s="62">
        <v>80</v>
      </c>
      <c r="G147" s="62">
        <f aca="true" t="shared" si="7" ref="G147:G161">(($E147*$F147)*0.0025)</f>
        <v>60</v>
      </c>
      <c r="H147" s="62">
        <f t="shared" si="5"/>
        <v>4.2</v>
      </c>
      <c r="I147" s="62">
        <f t="shared" si="6"/>
        <v>-24064.2</v>
      </c>
    </row>
    <row r="148" spans="3:9" ht="11.25">
      <c r="C148" s="59" t="s">
        <v>103</v>
      </c>
      <c r="D148" s="60" t="s">
        <v>19</v>
      </c>
      <c r="E148" s="61">
        <v>3000</v>
      </c>
      <c r="F148" s="62">
        <v>12.1</v>
      </c>
      <c r="G148" s="62">
        <f t="shared" si="7"/>
        <v>90.75</v>
      </c>
      <c r="H148" s="62">
        <f t="shared" si="5"/>
        <v>6.352500000000001</v>
      </c>
      <c r="I148" s="62">
        <f t="shared" si="6"/>
        <v>-36397.1025</v>
      </c>
    </row>
    <row r="149" spans="3:10" ht="11.25">
      <c r="C149" s="59" t="s">
        <v>103</v>
      </c>
      <c r="D149" s="60" t="s">
        <v>32</v>
      </c>
      <c r="E149" s="61">
        <v>3000</v>
      </c>
      <c r="F149" s="62">
        <v>12.3</v>
      </c>
      <c r="G149" s="62">
        <f t="shared" si="7"/>
        <v>92.25</v>
      </c>
      <c r="H149" s="62">
        <f t="shared" si="5"/>
        <v>6.4575000000000005</v>
      </c>
      <c r="I149" s="62">
        <f t="shared" si="6"/>
        <v>36801.2925</v>
      </c>
      <c r="J149" s="65">
        <f>SUM(I148:I149)</f>
        <v>404.1900000000023</v>
      </c>
    </row>
    <row r="150" spans="1:10" ht="12" thickBot="1">
      <c r="A150" s="6"/>
      <c r="B150" s="68"/>
      <c r="C150" s="6"/>
      <c r="D150" s="7"/>
      <c r="E150" s="17"/>
      <c r="F150" s="8"/>
      <c r="G150" s="8"/>
      <c r="H150" s="10" t="s">
        <v>10</v>
      </c>
      <c r="I150" s="10">
        <f>SUM(I146:I149)</f>
        <v>-28497.916875000003</v>
      </c>
      <c r="J150" s="6"/>
    </row>
    <row r="151" spans="1:9" ht="11.25">
      <c r="A151" s="3" t="s">
        <v>31</v>
      </c>
      <c r="B151" s="14">
        <v>37939</v>
      </c>
      <c r="C151" s="59" t="s">
        <v>71</v>
      </c>
      <c r="D151" s="60" t="s">
        <v>32</v>
      </c>
      <c r="E151" s="61">
        <v>300</v>
      </c>
      <c r="F151" s="62">
        <v>81</v>
      </c>
      <c r="G151" s="62">
        <f t="shared" si="7"/>
        <v>60.75</v>
      </c>
      <c r="H151" s="62">
        <f t="shared" si="5"/>
        <v>4.2525</v>
      </c>
      <c r="I151" s="62">
        <f t="shared" si="6"/>
        <v>24234.9975</v>
      </c>
    </row>
    <row r="152" spans="3:9" ht="11.25">
      <c r="C152" s="59" t="s">
        <v>71</v>
      </c>
      <c r="D152" s="60" t="s">
        <v>32</v>
      </c>
      <c r="E152" s="61">
        <v>500</v>
      </c>
      <c r="F152" s="62">
        <v>80</v>
      </c>
      <c r="G152" s="62">
        <f t="shared" si="7"/>
        <v>100</v>
      </c>
      <c r="H152" s="62">
        <f t="shared" si="5"/>
        <v>7.000000000000001</v>
      </c>
      <c r="I152" s="62">
        <f t="shared" si="6"/>
        <v>39893</v>
      </c>
    </row>
    <row r="153" spans="3:9" ht="11.25">
      <c r="C153" s="59" t="s">
        <v>71</v>
      </c>
      <c r="D153" s="60" t="s">
        <v>19</v>
      </c>
      <c r="E153" s="61">
        <v>500</v>
      </c>
      <c r="F153" s="62">
        <v>79</v>
      </c>
      <c r="G153" s="62">
        <f t="shared" si="7"/>
        <v>98.75</v>
      </c>
      <c r="H153" s="62">
        <f t="shared" si="5"/>
        <v>6.9125000000000005</v>
      </c>
      <c r="I153" s="62">
        <f t="shared" si="6"/>
        <v>-39605.6625</v>
      </c>
    </row>
    <row r="154" spans="3:9" ht="11.25">
      <c r="C154" s="59" t="s">
        <v>71</v>
      </c>
      <c r="D154" s="60" t="s">
        <v>19</v>
      </c>
      <c r="E154" s="61">
        <v>800</v>
      </c>
      <c r="F154" s="62">
        <v>77.5</v>
      </c>
      <c r="G154" s="62">
        <f t="shared" si="7"/>
        <v>155</v>
      </c>
      <c r="H154" s="62">
        <f t="shared" si="5"/>
        <v>10.850000000000001</v>
      </c>
      <c r="I154" s="62">
        <f t="shared" si="6"/>
        <v>-62165.85</v>
      </c>
    </row>
    <row r="155" spans="3:9" ht="11.25">
      <c r="C155" s="3" t="s">
        <v>101</v>
      </c>
      <c r="D155" s="4" t="s">
        <v>19</v>
      </c>
      <c r="E155" s="16">
        <v>500</v>
      </c>
      <c r="F155" s="5">
        <v>48.25</v>
      </c>
      <c r="G155" s="5">
        <f t="shared" si="7"/>
        <v>60.3125</v>
      </c>
      <c r="H155" s="5">
        <f t="shared" si="5"/>
        <v>4.221875000000001</v>
      </c>
      <c r="I155" s="5">
        <f t="shared" si="6"/>
        <v>-24189.534375</v>
      </c>
    </row>
    <row r="156" spans="3:9" ht="11.25">
      <c r="C156" s="3" t="s">
        <v>101</v>
      </c>
      <c r="D156" s="4" t="s">
        <v>19</v>
      </c>
      <c r="E156" s="16">
        <v>200</v>
      </c>
      <c r="F156" s="5">
        <v>48</v>
      </c>
      <c r="G156" s="5">
        <f t="shared" si="7"/>
        <v>24</v>
      </c>
      <c r="H156" s="5">
        <f t="shared" si="5"/>
        <v>1.6800000000000002</v>
      </c>
      <c r="I156" s="5">
        <f t="shared" si="6"/>
        <v>-9625.68</v>
      </c>
    </row>
    <row r="157" spans="3:9" ht="11.25">
      <c r="C157" s="3" t="s">
        <v>101</v>
      </c>
      <c r="D157" s="4" t="s">
        <v>32</v>
      </c>
      <c r="E157" s="16">
        <v>600</v>
      </c>
      <c r="F157" s="5">
        <v>48.75</v>
      </c>
      <c r="G157" s="5">
        <f t="shared" si="7"/>
        <v>73.125</v>
      </c>
      <c r="H157" s="5">
        <f t="shared" si="5"/>
        <v>5.11875</v>
      </c>
      <c r="I157" s="5">
        <f t="shared" si="6"/>
        <v>29171.75625</v>
      </c>
    </row>
    <row r="158" spans="3:9" ht="11.25">
      <c r="C158" s="3" t="s">
        <v>87</v>
      </c>
      <c r="D158" s="4" t="s">
        <v>32</v>
      </c>
      <c r="E158" s="16">
        <v>5000</v>
      </c>
      <c r="F158" s="5">
        <v>7.8</v>
      </c>
      <c r="G158" s="5">
        <f t="shared" si="7"/>
        <v>97.5</v>
      </c>
      <c r="H158" s="5">
        <f t="shared" si="5"/>
        <v>6.825000000000001</v>
      </c>
      <c r="I158" s="5">
        <f t="shared" si="6"/>
        <v>38895.675</v>
      </c>
    </row>
    <row r="159" spans="1:10" ht="12" thickBot="1">
      <c r="A159" s="6"/>
      <c r="B159" s="68"/>
      <c r="C159" s="6"/>
      <c r="D159" s="7"/>
      <c r="E159" s="17"/>
      <c r="F159" s="8"/>
      <c r="G159" s="8"/>
      <c r="H159" s="10" t="s">
        <v>10</v>
      </c>
      <c r="I159" s="10">
        <f>SUM(I151:I158)</f>
        <v>-3391.298124999994</v>
      </c>
      <c r="J159" s="6"/>
    </row>
    <row r="160" spans="1:10" ht="11.25">
      <c r="A160" s="3" t="s">
        <v>34</v>
      </c>
      <c r="B160" s="14">
        <v>37942</v>
      </c>
      <c r="C160" s="59" t="s">
        <v>28</v>
      </c>
      <c r="D160" s="60" t="s">
        <v>32</v>
      </c>
      <c r="E160" s="61">
        <v>10000</v>
      </c>
      <c r="F160" s="62">
        <v>4.38</v>
      </c>
      <c r="G160" s="62">
        <f t="shared" si="7"/>
        <v>109.5</v>
      </c>
      <c r="H160" s="62">
        <f t="shared" si="5"/>
        <v>7.665000000000001</v>
      </c>
      <c r="I160" s="62">
        <f t="shared" si="6"/>
        <v>43682.835</v>
      </c>
      <c r="J160" s="95">
        <f>SUM(I160,I106:I107,I89:I90,)</f>
        <v>-3565.404999999995</v>
      </c>
    </row>
    <row r="161" spans="3:9" ht="11.25">
      <c r="C161" s="3" t="s">
        <v>73</v>
      </c>
      <c r="D161" s="4" t="s">
        <v>19</v>
      </c>
      <c r="E161" s="16">
        <v>7000</v>
      </c>
      <c r="F161" s="5">
        <v>5.9</v>
      </c>
      <c r="G161" s="5">
        <f t="shared" si="7"/>
        <v>103.25</v>
      </c>
      <c r="H161" s="5">
        <f t="shared" si="5"/>
        <v>7.227500000000001</v>
      </c>
      <c r="I161" s="5">
        <f t="shared" si="6"/>
        <v>-41410.4775</v>
      </c>
    </row>
    <row r="162" spans="1:10" ht="12" thickBot="1">
      <c r="A162" s="6"/>
      <c r="B162" s="68"/>
      <c r="C162" s="6"/>
      <c r="D162" s="7"/>
      <c r="E162" s="17"/>
      <c r="F162" s="8"/>
      <c r="G162" s="8"/>
      <c r="H162" s="66" t="s">
        <v>17</v>
      </c>
      <c r="I162" s="66">
        <f>SUM(I160:I161)</f>
        <v>2272.3574999999983</v>
      </c>
      <c r="J162" s="6"/>
    </row>
    <row r="163" spans="1:12" ht="11.25">
      <c r="A163" s="3" t="s">
        <v>36</v>
      </c>
      <c r="B163" s="14">
        <v>37943</v>
      </c>
      <c r="C163" s="3" t="s">
        <v>101</v>
      </c>
      <c r="D163" s="4" t="s">
        <v>19</v>
      </c>
      <c r="E163" s="16">
        <v>500</v>
      </c>
      <c r="F163" s="5">
        <v>44</v>
      </c>
      <c r="G163" s="5">
        <f>(($E163*$F163)*0.0025)+10.2818991097923</f>
        <v>65.2818991097923</v>
      </c>
      <c r="H163" s="5">
        <f t="shared" si="5"/>
        <v>4.569732937685462</v>
      </c>
      <c r="I163" s="5">
        <f t="shared" si="6"/>
        <v>-22069.851632047477</v>
      </c>
      <c r="L163" s="9"/>
    </row>
    <row r="164" spans="3:12" ht="11.25">
      <c r="C164" s="3" t="s">
        <v>92</v>
      </c>
      <c r="D164" s="4" t="s">
        <v>32</v>
      </c>
      <c r="E164" s="16">
        <v>1000</v>
      </c>
      <c r="F164" s="5">
        <v>11.7</v>
      </c>
      <c r="G164" s="5">
        <f>(($E164*$F164)*0.0025)+5.46810089020772</f>
        <v>34.71810089020772</v>
      </c>
      <c r="H164" s="5">
        <f t="shared" si="5"/>
        <v>2.430267062314541</v>
      </c>
      <c r="I164" s="5">
        <f t="shared" si="6"/>
        <v>11662.851632047477</v>
      </c>
      <c r="L164" s="9"/>
    </row>
    <row r="165" spans="1:10" ht="12" thickBot="1">
      <c r="A165" s="6"/>
      <c r="B165" s="68"/>
      <c r="C165" s="6"/>
      <c r="D165" s="7"/>
      <c r="E165" s="17"/>
      <c r="F165" s="8"/>
      <c r="G165" s="8"/>
      <c r="H165" s="10" t="s">
        <v>10</v>
      </c>
      <c r="I165" s="10">
        <f>SUM(I163:I164)</f>
        <v>-10407</v>
      </c>
      <c r="J165" s="6"/>
    </row>
    <row r="166" spans="1:9" ht="11.25">
      <c r="A166" s="3" t="s">
        <v>40</v>
      </c>
      <c r="B166" s="14">
        <v>37944</v>
      </c>
      <c r="C166" s="59" t="s">
        <v>108</v>
      </c>
      <c r="D166" s="60" t="s">
        <v>19</v>
      </c>
      <c r="E166" s="61">
        <v>400</v>
      </c>
      <c r="F166" s="62">
        <v>53</v>
      </c>
      <c r="G166" s="62">
        <f>(($E166*$F166)*0.0025)</f>
        <v>53</v>
      </c>
      <c r="H166" s="62">
        <f t="shared" si="5"/>
        <v>3.7100000000000004</v>
      </c>
      <c r="I166" s="62">
        <f t="shared" si="6"/>
        <v>-21256.71</v>
      </c>
    </row>
    <row r="167" spans="3:9" ht="11.25">
      <c r="C167" s="3" t="s">
        <v>73</v>
      </c>
      <c r="D167" s="4" t="s">
        <v>32</v>
      </c>
      <c r="E167" s="16">
        <v>3000</v>
      </c>
      <c r="F167" s="5">
        <v>5.2</v>
      </c>
      <c r="G167" s="5">
        <f>(($E167*$F167)*0.0025)</f>
        <v>39</v>
      </c>
      <c r="H167" s="5">
        <f t="shared" si="5"/>
        <v>2.7300000000000004</v>
      </c>
      <c r="I167" s="5">
        <f t="shared" si="6"/>
        <v>15558.27</v>
      </c>
    </row>
    <row r="168" spans="3:10" ht="11.25">
      <c r="C168" s="3" t="s">
        <v>92</v>
      </c>
      <c r="D168" s="4" t="s">
        <v>32</v>
      </c>
      <c r="E168" s="16">
        <v>1000</v>
      </c>
      <c r="F168" s="5">
        <v>11</v>
      </c>
      <c r="G168" s="5">
        <f>(($E168*$F168)*0.0025)</f>
        <v>27.5</v>
      </c>
      <c r="H168" s="5">
        <f t="shared" si="5"/>
        <v>1.9250000000000003</v>
      </c>
      <c r="I168" s="5">
        <f t="shared" si="6"/>
        <v>10970.575</v>
      </c>
      <c r="J168" s="3"/>
    </row>
    <row r="169" spans="1:10" ht="12" thickBot="1">
      <c r="A169" s="6"/>
      <c r="B169" s="68"/>
      <c r="C169" s="6"/>
      <c r="D169" s="7"/>
      <c r="E169" s="17"/>
      <c r="F169" s="8"/>
      <c r="G169" s="8"/>
      <c r="H169" s="66" t="s">
        <v>17</v>
      </c>
      <c r="I169" s="66">
        <f>SUM(I166:I168)</f>
        <v>5272.135000000002</v>
      </c>
      <c r="J169" s="6"/>
    </row>
    <row r="170" spans="1:10" ht="11.25">
      <c r="A170" s="3" t="s">
        <v>27</v>
      </c>
      <c r="B170" s="14">
        <v>37945</v>
      </c>
      <c r="C170" s="59" t="s">
        <v>108</v>
      </c>
      <c r="D170" s="60" t="s">
        <v>32</v>
      </c>
      <c r="E170" s="61">
        <v>4000</v>
      </c>
      <c r="F170" s="62">
        <v>5.4</v>
      </c>
      <c r="G170" s="62">
        <f>(($E170*$F170)*0.0025)</f>
        <v>54</v>
      </c>
      <c r="H170" s="62">
        <f t="shared" si="5"/>
        <v>3.7800000000000002</v>
      </c>
      <c r="I170" s="62">
        <f t="shared" si="6"/>
        <v>21542.22</v>
      </c>
      <c r="J170" s="65">
        <f>SUM(I170,I166)</f>
        <v>285.51000000000204</v>
      </c>
    </row>
    <row r="171" spans="3:9" ht="11.25">
      <c r="C171" s="59" t="s">
        <v>108</v>
      </c>
      <c r="D171" s="60" t="s">
        <v>19</v>
      </c>
      <c r="E171" s="61">
        <v>5000</v>
      </c>
      <c r="F171" s="62">
        <v>5.3</v>
      </c>
      <c r="G171" s="62">
        <f>(($E171*$F171)*0.0025)</f>
        <v>66.25</v>
      </c>
      <c r="H171" s="62">
        <f t="shared" si="5"/>
        <v>4.6375</v>
      </c>
      <c r="I171" s="62">
        <f t="shared" si="6"/>
        <v>-26570.8875</v>
      </c>
    </row>
    <row r="172" spans="3:9" ht="11.25">
      <c r="C172" s="3" t="s">
        <v>87</v>
      </c>
      <c r="D172" s="4" t="s">
        <v>32</v>
      </c>
      <c r="E172" s="16">
        <v>2000</v>
      </c>
      <c r="F172" s="5">
        <v>7.3</v>
      </c>
      <c r="G172" s="5">
        <f>(($E172*$F172)*0.0025)</f>
        <v>36.5</v>
      </c>
      <c r="H172" s="5">
        <f t="shared" si="5"/>
        <v>2.555</v>
      </c>
      <c r="I172" s="5">
        <f t="shared" si="6"/>
        <v>14560.945</v>
      </c>
    </row>
    <row r="173" spans="1:10" ht="12" thickBot="1">
      <c r="A173" s="6"/>
      <c r="B173" s="68"/>
      <c r="C173" s="6"/>
      <c r="D173" s="7"/>
      <c r="E173" s="17"/>
      <c r="F173" s="8"/>
      <c r="G173" s="8"/>
      <c r="H173" s="66" t="s">
        <v>17</v>
      </c>
      <c r="I173" s="66">
        <f>SUM(I170:I172)</f>
        <v>9532.2775</v>
      </c>
      <c r="J173" s="6"/>
    </row>
    <row r="174" spans="1:9" ht="11.25">
      <c r="A174" s="3" t="s">
        <v>27</v>
      </c>
      <c r="B174" s="14">
        <v>37952</v>
      </c>
      <c r="C174" s="59" t="s">
        <v>71</v>
      </c>
      <c r="D174" s="60" t="s">
        <v>32</v>
      </c>
      <c r="E174" s="61">
        <v>800</v>
      </c>
      <c r="F174" s="62">
        <v>83.5</v>
      </c>
      <c r="G174" s="62">
        <f aca="true" t="shared" si="8" ref="G174:G191">(($E174*$F174)*0.0025)</f>
        <v>167</v>
      </c>
      <c r="H174" s="62">
        <f t="shared" si="5"/>
        <v>11.690000000000001</v>
      </c>
      <c r="I174" s="62">
        <f t="shared" si="6"/>
        <v>66621.31</v>
      </c>
    </row>
    <row r="175" spans="3:9" ht="11.25">
      <c r="C175" s="59" t="s">
        <v>71</v>
      </c>
      <c r="D175" s="60" t="s">
        <v>19</v>
      </c>
      <c r="E175" s="61">
        <v>800</v>
      </c>
      <c r="F175" s="62">
        <v>82.5</v>
      </c>
      <c r="G175" s="62">
        <f t="shared" si="8"/>
        <v>165</v>
      </c>
      <c r="H175" s="62">
        <f t="shared" si="5"/>
        <v>11.55</v>
      </c>
      <c r="I175" s="62">
        <f t="shared" si="6"/>
        <v>-66176.55</v>
      </c>
    </row>
    <row r="176" spans="1:10" ht="12" thickBot="1">
      <c r="A176" s="6"/>
      <c r="B176" s="68"/>
      <c r="C176" s="6"/>
      <c r="D176" s="7"/>
      <c r="E176" s="17"/>
      <c r="F176" s="8"/>
      <c r="G176" s="8"/>
      <c r="H176" s="66" t="s">
        <v>17</v>
      </c>
      <c r="I176" s="66">
        <f>SUM(I174:I175)</f>
        <v>444.75999999999476</v>
      </c>
      <c r="J176" s="6"/>
    </row>
    <row r="177" spans="1:9" ht="11.25">
      <c r="A177" s="3" t="s">
        <v>31</v>
      </c>
      <c r="B177" s="14">
        <v>37953</v>
      </c>
      <c r="C177" s="59" t="s">
        <v>71</v>
      </c>
      <c r="D177" s="60" t="s">
        <v>32</v>
      </c>
      <c r="E177" s="61">
        <v>500</v>
      </c>
      <c r="F177" s="62">
        <v>85</v>
      </c>
      <c r="G177" s="62">
        <f t="shared" si="8"/>
        <v>106.25</v>
      </c>
      <c r="H177" s="62">
        <f t="shared" si="5"/>
        <v>7.437500000000001</v>
      </c>
      <c r="I177" s="62">
        <f t="shared" si="6"/>
        <v>42386.3125</v>
      </c>
    </row>
    <row r="178" spans="3:10" ht="11.25">
      <c r="C178" s="59" t="s">
        <v>71</v>
      </c>
      <c r="D178" s="60" t="s">
        <v>19</v>
      </c>
      <c r="E178" s="61">
        <v>500</v>
      </c>
      <c r="F178" s="62">
        <v>83.5</v>
      </c>
      <c r="G178" s="62">
        <f t="shared" si="8"/>
        <v>104.375</v>
      </c>
      <c r="H178" s="62">
        <f t="shared" si="5"/>
        <v>7.30625</v>
      </c>
      <c r="I178" s="62">
        <f t="shared" si="6"/>
        <v>-41861.68125</v>
      </c>
      <c r="J178" s="9"/>
    </row>
    <row r="179" spans="3:10" ht="11.25">
      <c r="C179" s="59" t="s">
        <v>108</v>
      </c>
      <c r="D179" s="60" t="s">
        <v>32</v>
      </c>
      <c r="E179" s="61">
        <v>5000</v>
      </c>
      <c r="F179" s="62">
        <v>5.9</v>
      </c>
      <c r="G179" s="62">
        <f t="shared" si="8"/>
        <v>73.75</v>
      </c>
      <c r="H179" s="62">
        <f t="shared" si="5"/>
        <v>5.1625000000000005</v>
      </c>
      <c r="I179" s="62">
        <f t="shared" si="6"/>
        <v>29421.0875</v>
      </c>
      <c r="J179" s="65">
        <f>SUM(I179,I171)</f>
        <v>2850.2000000000007</v>
      </c>
    </row>
    <row r="180" spans="3:10" ht="11.25">
      <c r="C180" s="3" t="s">
        <v>108</v>
      </c>
      <c r="D180" s="4" t="s">
        <v>19</v>
      </c>
      <c r="E180" s="16">
        <v>5000</v>
      </c>
      <c r="F180" s="5">
        <v>5.75</v>
      </c>
      <c r="G180" s="5">
        <f t="shared" si="8"/>
        <v>71.875</v>
      </c>
      <c r="H180" s="5">
        <f t="shared" si="5"/>
        <v>5.031250000000001</v>
      </c>
      <c r="I180" s="5">
        <f t="shared" si="6"/>
        <v>-28826.90625</v>
      </c>
      <c r="J180" s="134"/>
    </row>
    <row r="181" spans="1:10" ht="12" thickBot="1">
      <c r="A181" s="6"/>
      <c r="B181" s="68"/>
      <c r="C181" s="6"/>
      <c r="D181" s="7"/>
      <c r="E181" s="17"/>
      <c r="F181" s="8"/>
      <c r="G181" s="8"/>
      <c r="H181" s="66" t="s">
        <v>17</v>
      </c>
      <c r="I181" s="66">
        <f>SUM(I177:I180)</f>
        <v>1118.8125</v>
      </c>
      <c r="J181" s="6"/>
    </row>
    <row r="182" spans="1:9" ht="11.25">
      <c r="A182" s="3" t="s">
        <v>34</v>
      </c>
      <c r="B182" s="14">
        <v>37956</v>
      </c>
      <c r="C182" s="59" t="s">
        <v>71</v>
      </c>
      <c r="D182" s="60" t="s">
        <v>32</v>
      </c>
      <c r="E182" s="61">
        <v>1000</v>
      </c>
      <c r="F182" s="62">
        <v>86.5</v>
      </c>
      <c r="G182" s="62">
        <f t="shared" si="8"/>
        <v>216.25</v>
      </c>
      <c r="H182" s="62">
        <f t="shared" si="5"/>
        <v>15.137500000000001</v>
      </c>
      <c r="I182" s="62">
        <f t="shared" si="6"/>
        <v>86268.6125</v>
      </c>
    </row>
    <row r="183" spans="1:10" ht="12" thickBot="1">
      <c r="A183" s="6"/>
      <c r="B183" s="68"/>
      <c r="C183" s="6"/>
      <c r="D183" s="7"/>
      <c r="E183" s="17"/>
      <c r="F183" s="8"/>
      <c r="G183" s="8"/>
      <c r="H183" s="66" t="s">
        <v>17</v>
      </c>
      <c r="I183" s="66">
        <f>I182</f>
        <v>86268.6125</v>
      </c>
      <c r="J183" s="6"/>
    </row>
    <row r="184" spans="1:10" ht="11.25">
      <c r="A184" s="3" t="s">
        <v>36</v>
      </c>
      <c r="B184" s="14">
        <v>37957</v>
      </c>
      <c r="C184" s="59" t="s">
        <v>71</v>
      </c>
      <c r="D184" s="60" t="s">
        <v>32</v>
      </c>
      <c r="E184" s="61">
        <v>800</v>
      </c>
      <c r="F184" s="62">
        <v>94.5</v>
      </c>
      <c r="G184" s="62">
        <f t="shared" si="8"/>
        <v>189</v>
      </c>
      <c r="H184" s="62">
        <f t="shared" si="5"/>
        <v>13.23</v>
      </c>
      <c r="I184" s="62">
        <f t="shared" si="6"/>
        <v>75397.77</v>
      </c>
      <c r="J184" s="65">
        <f>SUM(I184,I182,I177:I178,I174:I175,I151:I154,I147,I141:I142,I134:I135,I102:I103,I79,I68,)</f>
        <v>35554.71625</v>
      </c>
    </row>
    <row r="185" spans="3:9" ht="11.25">
      <c r="C185" s="59" t="s">
        <v>71</v>
      </c>
      <c r="D185" s="60" t="s">
        <v>19</v>
      </c>
      <c r="E185" s="61">
        <v>500</v>
      </c>
      <c r="F185" s="62">
        <v>91</v>
      </c>
      <c r="G185" s="62">
        <f t="shared" si="8"/>
        <v>113.75</v>
      </c>
      <c r="H185" s="62">
        <f t="shared" si="5"/>
        <v>7.9625</v>
      </c>
      <c r="I185" s="62">
        <f t="shared" si="6"/>
        <v>-45621.7125</v>
      </c>
    </row>
    <row r="186" spans="1:10" ht="12" thickBot="1">
      <c r="A186" s="6"/>
      <c r="B186" s="68"/>
      <c r="C186" s="6"/>
      <c r="D186" s="7"/>
      <c r="E186" s="17"/>
      <c r="F186" s="8"/>
      <c r="G186" s="8"/>
      <c r="H186" s="66" t="s">
        <v>17</v>
      </c>
      <c r="I186" s="66">
        <f>SUM(I184:I185)</f>
        <v>29776.057500000003</v>
      </c>
      <c r="J186" s="6"/>
    </row>
    <row r="187" spans="1:10" ht="11.25">
      <c r="A187" s="3" t="s">
        <v>40</v>
      </c>
      <c r="B187" s="14">
        <v>37958</v>
      </c>
      <c r="C187" s="59" t="s">
        <v>71</v>
      </c>
      <c r="D187" s="60" t="s">
        <v>32</v>
      </c>
      <c r="E187" s="61">
        <v>500</v>
      </c>
      <c r="F187" s="62">
        <v>91.5</v>
      </c>
      <c r="G187" s="62">
        <f t="shared" si="8"/>
        <v>114.375</v>
      </c>
      <c r="H187" s="62">
        <f t="shared" si="5"/>
        <v>8.006250000000001</v>
      </c>
      <c r="I187" s="62">
        <f t="shared" si="6"/>
        <v>45627.61875</v>
      </c>
      <c r="J187" s="65">
        <f>SUM(I187,I185)</f>
        <v>5.90625</v>
      </c>
    </row>
    <row r="188" spans="1:10" ht="12" thickBot="1">
      <c r="A188" s="139"/>
      <c r="B188" s="140"/>
      <c r="C188" s="139"/>
      <c r="D188" s="141"/>
      <c r="E188" s="142"/>
      <c r="F188" s="143"/>
      <c r="G188" s="143"/>
      <c r="H188" s="144" t="s">
        <v>17</v>
      </c>
      <c r="I188" s="144">
        <v>45627.01</v>
      </c>
      <c r="J188" s="139"/>
    </row>
    <row r="189" spans="1:9" ht="11.25">
      <c r="A189" s="3" t="s">
        <v>27</v>
      </c>
      <c r="B189" s="14">
        <v>37959</v>
      </c>
      <c r="C189" s="59" t="s">
        <v>71</v>
      </c>
      <c r="D189" s="60" t="s">
        <v>19</v>
      </c>
      <c r="E189" s="61">
        <v>800</v>
      </c>
      <c r="F189" s="62">
        <v>91.5</v>
      </c>
      <c r="G189" s="62">
        <f t="shared" si="8"/>
        <v>183</v>
      </c>
      <c r="H189" s="62">
        <f t="shared" si="5"/>
        <v>12.81</v>
      </c>
      <c r="I189" s="62">
        <f t="shared" si="6"/>
        <v>-73395.81</v>
      </c>
    </row>
    <row r="190" spans="3:10" ht="11.25">
      <c r="C190" s="59" t="s">
        <v>71</v>
      </c>
      <c r="D190" s="60" t="s">
        <v>32</v>
      </c>
      <c r="E190" s="61">
        <v>800</v>
      </c>
      <c r="F190" s="62">
        <v>92.5</v>
      </c>
      <c r="G190" s="62">
        <f t="shared" si="8"/>
        <v>185</v>
      </c>
      <c r="H190" s="62">
        <f t="shared" si="5"/>
        <v>12.950000000000001</v>
      </c>
      <c r="I190" s="62">
        <f t="shared" si="6"/>
        <v>73802.05</v>
      </c>
      <c r="J190" s="65">
        <f>SUM(I189,I190)</f>
        <v>406.24000000000524</v>
      </c>
    </row>
    <row r="191" spans="3:9" ht="11.25">
      <c r="C191" s="3" t="s">
        <v>73</v>
      </c>
      <c r="D191" s="4" t="s">
        <v>32</v>
      </c>
      <c r="E191" s="16">
        <v>2000</v>
      </c>
      <c r="F191" s="5">
        <v>5.2</v>
      </c>
      <c r="G191" s="62">
        <f t="shared" si="8"/>
        <v>26</v>
      </c>
      <c r="H191" s="62">
        <f t="shared" si="5"/>
        <v>1.8200000000000003</v>
      </c>
      <c r="I191" s="62">
        <f t="shared" si="6"/>
        <v>10372.18</v>
      </c>
    </row>
    <row r="192" spans="1:10" ht="12" thickBot="1">
      <c r="A192" s="6"/>
      <c r="B192" s="68"/>
      <c r="C192" s="6"/>
      <c r="D192" s="7"/>
      <c r="E192" s="17"/>
      <c r="F192" s="8"/>
      <c r="G192" s="8"/>
      <c r="H192" s="66" t="s">
        <v>17</v>
      </c>
      <c r="I192" s="66">
        <f>SUM(I189:I191)</f>
        <v>10778.420000000006</v>
      </c>
      <c r="J192" s="6"/>
    </row>
    <row r="193" spans="1:9" ht="11.25">
      <c r="A193" s="3" t="s">
        <v>34</v>
      </c>
      <c r="B193" s="14">
        <v>37963</v>
      </c>
      <c r="C193" s="59" t="s">
        <v>121</v>
      </c>
      <c r="D193" s="60" t="s">
        <v>19</v>
      </c>
      <c r="E193" s="61">
        <v>500</v>
      </c>
      <c r="F193" s="62">
        <v>42</v>
      </c>
      <c r="G193" s="62">
        <v>100</v>
      </c>
      <c r="H193" s="62">
        <f t="shared" si="5"/>
        <v>7.000000000000001</v>
      </c>
      <c r="I193" s="62">
        <f t="shared" si="6"/>
        <v>-21107</v>
      </c>
    </row>
    <row r="194" spans="1:10" ht="12" thickBot="1">
      <c r="A194" s="6"/>
      <c r="B194" s="68"/>
      <c r="C194" s="6"/>
      <c r="D194" s="7"/>
      <c r="E194" s="17"/>
      <c r="F194" s="8"/>
      <c r="G194" s="8"/>
      <c r="H194" s="10" t="s">
        <v>10</v>
      </c>
      <c r="I194" s="10">
        <f>I193</f>
        <v>-21107</v>
      </c>
      <c r="J194" s="6"/>
    </row>
    <row r="195" spans="1:10" ht="11.25">
      <c r="A195" s="3" t="s">
        <v>31</v>
      </c>
      <c r="B195" s="14">
        <v>37967</v>
      </c>
      <c r="C195" s="59" t="s">
        <v>121</v>
      </c>
      <c r="D195" s="60" t="s">
        <v>32</v>
      </c>
      <c r="E195" s="61">
        <v>500</v>
      </c>
      <c r="F195" s="62">
        <v>43.75</v>
      </c>
      <c r="G195" s="62">
        <v>100</v>
      </c>
      <c r="H195" s="62">
        <f t="shared" si="5"/>
        <v>7.000000000000001</v>
      </c>
      <c r="I195" s="62">
        <f t="shared" si="6"/>
        <v>21768</v>
      </c>
      <c r="J195" s="65">
        <f>SUM(I195,I193)</f>
        <v>661</v>
      </c>
    </row>
    <row r="196" spans="1:10" ht="12" thickBot="1">
      <c r="A196" s="6"/>
      <c r="B196" s="68"/>
      <c r="C196" s="6"/>
      <c r="D196" s="7"/>
      <c r="E196" s="17"/>
      <c r="F196" s="8"/>
      <c r="G196" s="8"/>
      <c r="H196" s="66" t="s">
        <v>17</v>
      </c>
      <c r="I196" s="66">
        <f>I195</f>
        <v>21768</v>
      </c>
      <c r="J196" s="6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9">
      <selection activeCell="H58" sqref="H58"/>
    </sheetView>
  </sheetViews>
  <sheetFormatPr defaultColWidth="9.140625" defaultRowHeight="21.75"/>
  <cols>
    <col min="1" max="1" width="8.28125" style="3" customWidth="1"/>
    <col min="2" max="2" width="7.7109375" style="3" customWidth="1"/>
    <col min="3" max="3" width="6.421875" style="3" customWidth="1"/>
    <col min="4" max="4" width="7.00390625" style="4" customWidth="1"/>
    <col min="5" max="5" width="10.00390625" style="5" customWidth="1"/>
    <col min="6" max="6" width="7.57421875" style="5" customWidth="1"/>
    <col min="7" max="7" width="9.140625" style="5" customWidth="1"/>
    <col min="8" max="8" width="2.140625" style="5" customWidth="1"/>
    <col min="9" max="9" width="12.57421875" style="2" customWidth="1"/>
    <col min="10" max="10" width="7.140625" style="2" customWidth="1"/>
    <col min="11" max="11" width="12.28125" style="2" customWidth="1"/>
    <col min="12" max="12" width="7.140625" style="2" customWidth="1"/>
    <col min="13" max="13" width="8.28125" style="2" customWidth="1"/>
    <col min="14" max="14" width="1.8515625" style="2" customWidth="1"/>
    <col min="15" max="16384" width="14.7109375" style="2" customWidth="1"/>
  </cols>
  <sheetData>
    <row r="1" spans="1:14" ht="15.75">
      <c r="A1" s="52"/>
      <c r="B1" s="52"/>
      <c r="C1" s="52"/>
      <c r="D1" s="46"/>
      <c r="E1" s="46"/>
      <c r="F1" s="48"/>
      <c r="G1" s="89" t="s">
        <v>34</v>
      </c>
      <c r="H1" s="150">
        <v>37956</v>
      </c>
      <c r="I1" s="150"/>
      <c r="J1" s="46"/>
      <c r="K1" s="46"/>
      <c r="L1" s="46"/>
      <c r="M1" s="46"/>
      <c r="N1" s="46"/>
    </row>
    <row r="2" spans="1:14" ht="11.25">
      <c r="A2" s="151" t="s">
        <v>23</v>
      </c>
      <c r="B2" s="151"/>
      <c r="C2" s="151"/>
      <c r="D2" s="151"/>
      <c r="E2" s="151"/>
      <c r="F2" s="151"/>
      <c r="G2" s="151"/>
      <c r="H2" s="49"/>
      <c r="I2" s="152" t="s">
        <v>21</v>
      </c>
      <c r="J2" s="152"/>
      <c r="K2" s="39">
        <v>19270.08249999988</v>
      </c>
      <c r="L2" s="47"/>
      <c r="M2" s="47"/>
      <c r="N2" s="46"/>
    </row>
    <row r="3" spans="1:14" ht="11.25">
      <c r="A3" s="35" t="s">
        <v>2</v>
      </c>
      <c r="B3" s="35" t="s">
        <v>59</v>
      </c>
      <c r="C3" s="35" t="s">
        <v>58</v>
      </c>
      <c r="D3" s="35" t="s">
        <v>8</v>
      </c>
      <c r="E3" s="35" t="s">
        <v>61</v>
      </c>
      <c r="F3" s="35" t="s">
        <v>9</v>
      </c>
      <c r="G3" s="35" t="s">
        <v>20</v>
      </c>
      <c r="H3" s="48"/>
      <c r="I3" s="43" t="s">
        <v>10</v>
      </c>
      <c r="J3" s="43"/>
      <c r="K3" s="39">
        <v>0</v>
      </c>
      <c r="L3" s="47"/>
      <c r="M3" s="47"/>
      <c r="N3" s="46"/>
    </row>
    <row r="4" spans="1:14" ht="11.25">
      <c r="A4" s="36" t="s">
        <v>87</v>
      </c>
      <c r="B4" s="37">
        <v>2000</v>
      </c>
      <c r="C4" s="38">
        <v>8.25</v>
      </c>
      <c r="D4" s="39">
        <v>7.45</v>
      </c>
      <c r="E4" s="39">
        <f aca="true" t="shared" si="0" ref="E4:E11">$B4*$D4</f>
        <v>14900</v>
      </c>
      <c r="F4" s="40">
        <f>$E4/$K8</f>
        <v>0.04181239091683897</v>
      </c>
      <c r="G4" s="39">
        <f aca="true" t="shared" si="1" ref="G4:G11">$E4-($B4*$C4)</f>
        <v>-1600</v>
      </c>
      <c r="H4" s="50"/>
      <c r="I4" s="152" t="s">
        <v>17</v>
      </c>
      <c r="J4" s="152"/>
      <c r="K4" s="39">
        <v>86268.6125</v>
      </c>
      <c r="L4" s="47"/>
      <c r="M4" s="47"/>
      <c r="N4" s="46"/>
    </row>
    <row r="5" spans="1:14" ht="11.25">
      <c r="A5" s="36" t="s">
        <v>71</v>
      </c>
      <c r="B5" s="37">
        <v>800</v>
      </c>
      <c r="C5" s="38">
        <v>77.8</v>
      </c>
      <c r="D5" s="39">
        <v>90</v>
      </c>
      <c r="E5" s="39">
        <f t="shared" si="0"/>
        <v>72000</v>
      </c>
      <c r="F5" s="40">
        <f>$E5/$K8</f>
        <v>0.20204645275251046</v>
      </c>
      <c r="G5" s="39">
        <f t="shared" si="1"/>
        <v>9760</v>
      </c>
      <c r="H5" s="48"/>
      <c r="I5" s="43" t="s">
        <v>51</v>
      </c>
      <c r="J5" s="43"/>
      <c r="K5" s="39">
        <f>-K10*M10</f>
        <v>0</v>
      </c>
      <c r="L5" s="47"/>
      <c r="M5" s="47"/>
      <c r="N5" s="46"/>
    </row>
    <row r="6" spans="1:14" ht="11.25">
      <c r="A6" s="36" t="s">
        <v>73</v>
      </c>
      <c r="B6" s="37">
        <v>4000</v>
      </c>
      <c r="C6" s="38">
        <v>5.93</v>
      </c>
      <c r="D6" s="39">
        <v>5.05</v>
      </c>
      <c r="E6" s="39">
        <f t="shared" si="0"/>
        <v>20200</v>
      </c>
      <c r="F6" s="40">
        <f>$E6/$K8</f>
        <v>0.056685254800009875</v>
      </c>
      <c r="G6" s="39">
        <f t="shared" si="1"/>
        <v>-3520</v>
      </c>
      <c r="H6" s="50"/>
      <c r="I6" s="43" t="s">
        <v>50</v>
      </c>
      <c r="J6" s="43"/>
      <c r="K6" s="39">
        <v>0</v>
      </c>
      <c r="L6" s="47"/>
      <c r="M6" s="47"/>
      <c r="N6" s="46"/>
    </row>
    <row r="7" spans="1:14" ht="11.25">
      <c r="A7" s="36" t="s">
        <v>92</v>
      </c>
      <c r="B7" s="37">
        <v>2000</v>
      </c>
      <c r="C7" s="38">
        <v>14.94</v>
      </c>
      <c r="D7" s="39">
        <v>11.7</v>
      </c>
      <c r="E7" s="39">
        <f t="shared" si="0"/>
        <v>23400</v>
      </c>
      <c r="F7" s="40">
        <f>$E7/$K8</f>
        <v>0.06566509714456589</v>
      </c>
      <c r="G7" s="39">
        <f t="shared" si="1"/>
        <v>-6480</v>
      </c>
      <c r="H7" s="48"/>
      <c r="I7" s="146" t="s">
        <v>22</v>
      </c>
      <c r="J7" s="146"/>
      <c r="K7" s="41">
        <f>SUM($K2:$K6)</f>
        <v>105538.69499999989</v>
      </c>
      <c r="L7" s="42">
        <f>$K7/$K8</f>
        <v>0.2961627632344318</v>
      </c>
      <c r="M7" s="45">
        <v>37959</v>
      </c>
      <c r="N7" s="46"/>
    </row>
    <row r="8" spans="1:14" ht="11.25">
      <c r="A8" s="36" t="s">
        <v>91</v>
      </c>
      <c r="B8" s="37">
        <v>7000</v>
      </c>
      <c r="C8" s="38">
        <v>3.43</v>
      </c>
      <c r="D8" s="39">
        <v>2.72</v>
      </c>
      <c r="E8" s="39">
        <f t="shared" si="0"/>
        <v>19040</v>
      </c>
      <c r="F8" s="40">
        <f>$E8/$K8</f>
        <v>0.05343006195010832</v>
      </c>
      <c r="G8" s="39">
        <f t="shared" si="1"/>
        <v>-4970</v>
      </c>
      <c r="H8" s="48"/>
      <c r="I8" s="147" t="s">
        <v>11</v>
      </c>
      <c r="J8" s="147"/>
      <c r="K8" s="58">
        <f>SUM($E13,$K7)</f>
        <v>356353.6949999999</v>
      </c>
      <c r="L8" s="44">
        <f>SUM($F13,$L7)</f>
        <v>0.9999999999999999</v>
      </c>
      <c r="M8" s="51"/>
      <c r="N8" s="80"/>
    </row>
    <row r="9" spans="1:14" ht="11.25">
      <c r="A9" s="36" t="s">
        <v>97</v>
      </c>
      <c r="B9" s="37">
        <v>1000</v>
      </c>
      <c r="C9" s="38">
        <v>18.2</v>
      </c>
      <c r="D9" s="39">
        <v>15.5</v>
      </c>
      <c r="E9" s="39">
        <f t="shared" si="0"/>
        <v>15500</v>
      </c>
      <c r="F9" s="40">
        <f>$E9/$K8</f>
        <v>0.043496111356443226</v>
      </c>
      <c r="G9" s="39">
        <f t="shared" si="1"/>
        <v>-2700</v>
      </c>
      <c r="H9" s="48"/>
      <c r="I9" s="71" t="s">
        <v>52</v>
      </c>
      <c r="J9" s="71"/>
      <c r="K9" s="37">
        <v>31647.90041358622</v>
      </c>
      <c r="L9" s="72"/>
      <c r="M9" s="73"/>
      <c r="N9" s="46"/>
    </row>
    <row r="10" spans="1:14" ht="11.25">
      <c r="A10" s="36" t="s">
        <v>101</v>
      </c>
      <c r="B10" s="37">
        <v>1300</v>
      </c>
      <c r="C10" s="38">
        <v>46.7</v>
      </c>
      <c r="D10" s="39">
        <v>44.25</v>
      </c>
      <c r="E10" s="39">
        <f t="shared" si="0"/>
        <v>57525</v>
      </c>
      <c r="F10" s="40">
        <f>$E10/$K8</f>
        <v>0.16142669714705785</v>
      </c>
      <c r="G10" s="39">
        <f t="shared" si="1"/>
        <v>-3185.0000000000073</v>
      </c>
      <c r="H10" s="48"/>
      <c r="I10" s="71" t="s">
        <v>53</v>
      </c>
      <c r="J10" s="71"/>
      <c r="K10" s="74">
        <v>0</v>
      </c>
      <c r="L10" s="75" t="s">
        <v>54</v>
      </c>
      <c r="M10" s="94">
        <v>0</v>
      </c>
      <c r="N10" s="46"/>
    </row>
    <row r="11" spans="1:14" ht="11.25">
      <c r="A11" s="36" t="s">
        <v>108</v>
      </c>
      <c r="B11" s="37">
        <v>5000</v>
      </c>
      <c r="C11" s="38">
        <v>5.8</v>
      </c>
      <c r="D11" s="39">
        <v>5.65</v>
      </c>
      <c r="E11" s="39">
        <f t="shared" si="0"/>
        <v>28250</v>
      </c>
      <c r="F11" s="40">
        <f>$E11/$K8</f>
        <v>0.07927517069803362</v>
      </c>
      <c r="G11" s="39">
        <f t="shared" si="1"/>
        <v>-750</v>
      </c>
      <c r="H11" s="48"/>
      <c r="I11" s="71" t="s">
        <v>55</v>
      </c>
      <c r="J11" s="71"/>
      <c r="K11" s="74">
        <v>0</v>
      </c>
      <c r="L11" s="75" t="s">
        <v>54</v>
      </c>
      <c r="M11" s="94">
        <v>0</v>
      </c>
      <c r="N11" s="46"/>
    </row>
    <row r="12" spans="1:14" ht="11.25">
      <c r="A12" s="36"/>
      <c r="B12" s="37"/>
      <c r="C12" s="38"/>
      <c r="D12" s="39"/>
      <c r="E12" s="39"/>
      <c r="F12" s="40"/>
      <c r="G12" s="39"/>
      <c r="H12" s="48"/>
      <c r="I12" s="76" t="s">
        <v>56</v>
      </c>
      <c r="J12" s="77"/>
      <c r="K12" s="78">
        <f>$K9-$K10+$K11</f>
        <v>31647.90041358622</v>
      </c>
      <c r="L12" s="46"/>
      <c r="M12" s="46"/>
      <c r="N12" s="46"/>
    </row>
    <row r="13" spans="1:14" ht="11.25">
      <c r="A13" s="148" t="s">
        <v>16</v>
      </c>
      <c r="B13" s="148"/>
      <c r="C13" s="148"/>
      <c r="D13" s="41"/>
      <c r="E13" s="41">
        <f>SUM($E4:$E12)</f>
        <v>250815</v>
      </c>
      <c r="F13" s="42">
        <f>SUM($F4:$F12)</f>
        <v>0.7038372367655681</v>
      </c>
      <c r="G13" s="39">
        <f>SUM(G4:G12)</f>
        <v>-13445.000000000007</v>
      </c>
      <c r="H13" s="46"/>
      <c r="I13" s="149" t="s">
        <v>57</v>
      </c>
      <c r="J13" s="149"/>
      <c r="K13" s="79">
        <f>K8/K12</f>
        <v>11.259947432311174</v>
      </c>
      <c r="L13" s="46"/>
      <c r="M13" s="46"/>
      <c r="N13" s="46"/>
    </row>
    <row r="14" spans="1:14" ht="11.25">
      <c r="A14" s="52"/>
      <c r="B14" s="52"/>
      <c r="C14" s="52"/>
      <c r="D14" s="53"/>
      <c r="E14" s="48"/>
      <c r="F14" s="48"/>
      <c r="G14" s="48"/>
      <c r="H14" s="48"/>
      <c r="I14" s="70"/>
      <c r="J14" s="70"/>
      <c r="K14" s="70"/>
      <c r="L14" s="70"/>
      <c r="M14" s="46"/>
      <c r="N14" s="46"/>
    </row>
    <row r="15" spans="1:14" ht="14.25" customHeight="1">
      <c r="A15" s="52"/>
      <c r="B15" s="52"/>
      <c r="C15" s="52"/>
      <c r="D15" s="46"/>
      <c r="E15" s="46"/>
      <c r="F15" s="48"/>
      <c r="G15" s="89" t="s">
        <v>36</v>
      </c>
      <c r="H15" s="150">
        <v>37957</v>
      </c>
      <c r="I15" s="150"/>
      <c r="J15" s="46"/>
      <c r="K15" s="46"/>
      <c r="L15" s="46"/>
      <c r="M15" s="46"/>
      <c r="N15" s="46"/>
    </row>
    <row r="16" spans="1:14" ht="14.25" customHeight="1">
      <c r="A16" s="151" t="s">
        <v>23</v>
      </c>
      <c r="B16" s="151"/>
      <c r="C16" s="151"/>
      <c r="D16" s="151"/>
      <c r="E16" s="151"/>
      <c r="F16" s="151"/>
      <c r="G16" s="151"/>
      <c r="H16" s="49"/>
      <c r="I16" s="152" t="s">
        <v>21</v>
      </c>
      <c r="J16" s="152"/>
      <c r="K16" s="39">
        <v>105538.69499999989</v>
      </c>
      <c r="L16" s="47"/>
      <c r="M16" s="47"/>
      <c r="N16" s="46"/>
    </row>
    <row r="17" spans="1:14" ht="14.25" customHeight="1">
      <c r="A17" s="35" t="s">
        <v>2</v>
      </c>
      <c r="B17" s="35" t="s">
        <v>59</v>
      </c>
      <c r="C17" s="35" t="s">
        <v>58</v>
      </c>
      <c r="D17" s="35" t="s">
        <v>8</v>
      </c>
      <c r="E17" s="35" t="s">
        <v>61</v>
      </c>
      <c r="F17" s="35" t="s">
        <v>9</v>
      </c>
      <c r="G17" s="35" t="s">
        <v>20</v>
      </c>
      <c r="H17" s="48"/>
      <c r="I17" s="43" t="s">
        <v>10</v>
      </c>
      <c r="J17" s="43"/>
      <c r="K17" s="39">
        <v>0</v>
      </c>
      <c r="L17" s="47"/>
      <c r="M17" s="47"/>
      <c r="N17" s="46"/>
    </row>
    <row r="18" spans="1:14" ht="14.25" customHeight="1">
      <c r="A18" s="36" t="s">
        <v>87</v>
      </c>
      <c r="B18" s="37">
        <v>2000</v>
      </c>
      <c r="C18" s="38">
        <v>8.25</v>
      </c>
      <c r="D18" s="39">
        <v>7.45</v>
      </c>
      <c r="E18" s="39">
        <f aca="true" t="shared" si="2" ref="E18:E25">$B18*$D18</f>
        <v>14900</v>
      </c>
      <c r="F18" s="40">
        <f>$E18/$K22</f>
        <v>0.04145051746067928</v>
      </c>
      <c r="G18" s="39">
        <f aca="true" t="shared" si="3" ref="G18:G25">$E18-($B18*$C18)</f>
        <v>-1600</v>
      </c>
      <c r="H18" s="50"/>
      <c r="I18" s="152" t="s">
        <v>17</v>
      </c>
      <c r="J18" s="152"/>
      <c r="K18" s="39">
        <v>29776.057500000003</v>
      </c>
      <c r="L18" s="47"/>
      <c r="M18" s="47"/>
      <c r="N18" s="46"/>
    </row>
    <row r="19" spans="1:14" ht="14.25" customHeight="1">
      <c r="A19" s="36" t="s">
        <v>71</v>
      </c>
      <c r="B19" s="37">
        <v>500</v>
      </c>
      <c r="C19" s="38">
        <v>91.5</v>
      </c>
      <c r="D19" s="39">
        <v>91</v>
      </c>
      <c r="E19" s="39">
        <f t="shared" si="2"/>
        <v>45500</v>
      </c>
      <c r="F19" s="40">
        <f>$E19/$K22</f>
        <v>0.12657708352086625</v>
      </c>
      <c r="G19" s="39">
        <f t="shared" si="3"/>
        <v>-250</v>
      </c>
      <c r="H19" s="48"/>
      <c r="I19" s="43" t="s">
        <v>51</v>
      </c>
      <c r="J19" s="43"/>
      <c r="K19" s="39">
        <f>-K24*M24</f>
        <v>0</v>
      </c>
      <c r="L19" s="47"/>
      <c r="M19" s="47"/>
      <c r="N19" s="46"/>
    </row>
    <row r="20" spans="1:14" ht="11.25">
      <c r="A20" s="36" t="s">
        <v>73</v>
      </c>
      <c r="B20" s="37">
        <v>4000</v>
      </c>
      <c r="C20" s="38">
        <v>5.93</v>
      </c>
      <c r="D20" s="39">
        <v>5.15</v>
      </c>
      <c r="E20" s="39">
        <f t="shared" si="2"/>
        <v>20600</v>
      </c>
      <c r="F20" s="40">
        <f>$E20/$K22</f>
        <v>0.05730742682483175</v>
      </c>
      <c r="G20" s="39">
        <f t="shared" si="3"/>
        <v>-3120</v>
      </c>
      <c r="H20" s="50"/>
      <c r="I20" s="43" t="s">
        <v>50</v>
      </c>
      <c r="J20" s="43"/>
      <c r="K20" s="39">
        <v>0</v>
      </c>
      <c r="L20" s="47"/>
      <c r="M20" s="47"/>
      <c r="N20" s="46"/>
    </row>
    <row r="21" spans="1:14" ht="11.25">
      <c r="A21" s="36" t="s">
        <v>92</v>
      </c>
      <c r="B21" s="37">
        <v>2000</v>
      </c>
      <c r="C21" s="38">
        <v>14.94</v>
      </c>
      <c r="D21" s="39">
        <v>11.3</v>
      </c>
      <c r="E21" s="39">
        <f t="shared" si="2"/>
        <v>22600</v>
      </c>
      <c r="F21" s="40">
        <f>$E21/$K22</f>
        <v>0.0628712546719028</v>
      </c>
      <c r="G21" s="39">
        <f t="shared" si="3"/>
        <v>-7280</v>
      </c>
      <c r="H21" s="48"/>
      <c r="I21" s="146" t="s">
        <v>22</v>
      </c>
      <c r="J21" s="146"/>
      <c r="K21" s="41">
        <f>SUM($K16:$K20)</f>
        <v>135314.7524999999</v>
      </c>
      <c r="L21" s="42">
        <f>$K21/$K22</f>
        <v>0.3764339940395128</v>
      </c>
      <c r="M21" s="45">
        <v>37963</v>
      </c>
      <c r="N21" s="46"/>
    </row>
    <row r="22" spans="1:14" ht="11.25">
      <c r="A22" s="36" t="s">
        <v>91</v>
      </c>
      <c r="B22" s="37">
        <v>7000</v>
      </c>
      <c r="C22" s="38">
        <v>3.43</v>
      </c>
      <c r="D22" s="39">
        <v>2.7</v>
      </c>
      <c r="E22" s="39">
        <f t="shared" si="2"/>
        <v>18900</v>
      </c>
      <c r="F22" s="40">
        <f>$E22/$K22</f>
        <v>0.05257817315482136</v>
      </c>
      <c r="G22" s="39">
        <f t="shared" si="3"/>
        <v>-5110</v>
      </c>
      <c r="H22" s="48"/>
      <c r="I22" s="147" t="s">
        <v>11</v>
      </c>
      <c r="J22" s="147"/>
      <c r="K22" s="58">
        <f>SUM($E27,$K21)</f>
        <v>359464.7524999999</v>
      </c>
      <c r="L22" s="44">
        <f>SUM($F27,$L21)</f>
        <v>1</v>
      </c>
      <c r="M22" s="51"/>
      <c r="N22" s="80"/>
    </row>
    <row r="23" spans="1:14" ht="11.25">
      <c r="A23" s="36" t="s">
        <v>97</v>
      </c>
      <c r="B23" s="37">
        <v>1000</v>
      </c>
      <c r="C23" s="38">
        <v>18.2</v>
      </c>
      <c r="D23" s="39">
        <v>16.2</v>
      </c>
      <c r="E23" s="39">
        <f t="shared" si="2"/>
        <v>16200</v>
      </c>
      <c r="F23" s="40">
        <f>$E23/$K22</f>
        <v>0.04506700556127546</v>
      </c>
      <c r="G23" s="39">
        <f t="shared" si="3"/>
        <v>-2000</v>
      </c>
      <c r="H23" s="48"/>
      <c r="I23" s="71" t="s">
        <v>52</v>
      </c>
      <c r="J23" s="71"/>
      <c r="K23" s="37">
        <v>31647.90041358622</v>
      </c>
      <c r="L23" s="72"/>
      <c r="M23" s="73"/>
      <c r="N23" s="46"/>
    </row>
    <row r="24" spans="1:14" ht="11.25">
      <c r="A24" s="36" t="s">
        <v>101</v>
      </c>
      <c r="B24" s="37">
        <v>1300</v>
      </c>
      <c r="C24" s="38">
        <v>46.7</v>
      </c>
      <c r="D24" s="39">
        <v>44</v>
      </c>
      <c r="E24" s="39">
        <f t="shared" si="2"/>
        <v>57200</v>
      </c>
      <c r="F24" s="40">
        <f>$E24/$K22</f>
        <v>0.15912547642623184</v>
      </c>
      <c r="G24" s="39">
        <f t="shared" si="3"/>
        <v>-3510.0000000000073</v>
      </c>
      <c r="H24" s="48"/>
      <c r="I24" s="71" t="s">
        <v>53</v>
      </c>
      <c r="J24" s="71"/>
      <c r="K24" s="74">
        <v>0</v>
      </c>
      <c r="L24" s="75" t="s">
        <v>54</v>
      </c>
      <c r="M24" s="94">
        <v>0</v>
      </c>
      <c r="N24" s="46"/>
    </row>
    <row r="25" spans="1:14" ht="11.25">
      <c r="A25" s="36" t="s">
        <v>108</v>
      </c>
      <c r="B25" s="37">
        <v>5000</v>
      </c>
      <c r="C25" s="38">
        <v>5.8</v>
      </c>
      <c r="D25" s="39">
        <v>5.65</v>
      </c>
      <c r="E25" s="39">
        <f t="shared" si="2"/>
        <v>28250</v>
      </c>
      <c r="F25" s="40">
        <f>$E25/$K22</f>
        <v>0.0785890683398785</v>
      </c>
      <c r="G25" s="39">
        <f t="shared" si="3"/>
        <v>-750</v>
      </c>
      <c r="H25" s="48"/>
      <c r="I25" s="71" t="s">
        <v>55</v>
      </c>
      <c r="J25" s="71"/>
      <c r="K25" s="74">
        <v>0</v>
      </c>
      <c r="L25" s="75" t="s">
        <v>54</v>
      </c>
      <c r="M25" s="94">
        <v>0</v>
      </c>
      <c r="N25" s="46"/>
    </row>
    <row r="26" spans="1:14" ht="11.25">
      <c r="A26" s="36"/>
      <c r="B26" s="37"/>
      <c r="C26" s="38"/>
      <c r="D26" s="39"/>
      <c r="E26" s="39"/>
      <c r="F26" s="40"/>
      <c r="G26" s="39"/>
      <c r="H26" s="48"/>
      <c r="I26" s="76" t="s">
        <v>56</v>
      </c>
      <c r="J26" s="77"/>
      <c r="K26" s="78">
        <f>$K23-$K24+$K25</f>
        <v>31647.90041358622</v>
      </c>
      <c r="L26" s="46"/>
      <c r="M26" s="46"/>
      <c r="N26" s="46"/>
    </row>
    <row r="27" spans="1:14" ht="11.25">
      <c r="A27" s="148" t="s">
        <v>16</v>
      </c>
      <c r="B27" s="148"/>
      <c r="C27" s="148"/>
      <c r="D27" s="41"/>
      <c r="E27" s="41">
        <f>SUM($E18:$E26)</f>
        <v>224150</v>
      </c>
      <c r="F27" s="42">
        <f>SUM($F18:$F26)</f>
        <v>0.6235660059604873</v>
      </c>
      <c r="G27" s="39">
        <f>SUM(G18:G26)</f>
        <v>-23620.000000000007</v>
      </c>
      <c r="H27" s="46"/>
      <c r="I27" s="149" t="s">
        <v>57</v>
      </c>
      <c r="J27" s="149"/>
      <c r="K27" s="79">
        <f>K22/K26</f>
        <v>11.358249609054136</v>
      </c>
      <c r="L27" s="46"/>
      <c r="M27" s="46"/>
      <c r="N27" s="46"/>
    </row>
    <row r="28" spans="1:14" ht="11.25">
      <c r="A28" s="52"/>
      <c r="B28" s="52"/>
      <c r="C28" s="52"/>
      <c r="D28" s="53"/>
      <c r="E28" s="48"/>
      <c r="F28" s="48"/>
      <c r="G28" s="48"/>
      <c r="H28" s="48"/>
      <c r="I28" s="70"/>
      <c r="J28" s="70"/>
      <c r="K28" s="70"/>
      <c r="L28" s="70"/>
      <c r="M28" s="46"/>
      <c r="N28" s="46"/>
    </row>
    <row r="29" spans="1:14" ht="11.25">
      <c r="A29" s="52"/>
      <c r="B29" s="52"/>
      <c r="C29" s="52"/>
      <c r="D29" s="53"/>
      <c r="E29" s="48"/>
      <c r="F29" s="48"/>
      <c r="G29" s="48"/>
      <c r="H29" s="48"/>
      <c r="I29" s="70"/>
      <c r="J29" s="70"/>
      <c r="K29" s="70"/>
      <c r="L29" s="70"/>
      <c r="M29" s="46"/>
      <c r="N29" s="46"/>
    </row>
    <row r="30" spans="1:14" ht="15.75">
      <c r="A30" s="52"/>
      <c r="B30" s="52"/>
      <c r="C30" s="52"/>
      <c r="D30" s="46"/>
      <c r="E30" s="46"/>
      <c r="F30" s="48"/>
      <c r="G30" s="89" t="s">
        <v>40</v>
      </c>
      <c r="H30" s="150">
        <v>37958</v>
      </c>
      <c r="I30" s="150"/>
      <c r="J30" s="46"/>
      <c r="K30" s="46"/>
      <c r="L30" s="46"/>
      <c r="M30" s="46"/>
      <c r="N30" s="46"/>
    </row>
    <row r="31" spans="1:14" ht="11.25">
      <c r="A31" s="151" t="s">
        <v>23</v>
      </c>
      <c r="B31" s="151"/>
      <c r="C31" s="151"/>
      <c r="D31" s="151"/>
      <c r="E31" s="151"/>
      <c r="F31" s="151"/>
      <c r="G31" s="151"/>
      <c r="H31" s="49"/>
      <c r="I31" s="152" t="s">
        <v>21</v>
      </c>
      <c r="J31" s="152"/>
      <c r="K31" s="39">
        <v>135314.7524999999</v>
      </c>
      <c r="L31" s="47"/>
      <c r="M31" s="47"/>
      <c r="N31" s="46"/>
    </row>
    <row r="32" spans="1:14" ht="11.25">
      <c r="A32" s="35" t="s">
        <v>2</v>
      </c>
      <c r="B32" s="35" t="s">
        <v>59</v>
      </c>
      <c r="C32" s="35" t="s">
        <v>58</v>
      </c>
      <c r="D32" s="35" t="s">
        <v>8</v>
      </c>
      <c r="E32" s="35" t="s">
        <v>61</v>
      </c>
      <c r="F32" s="35" t="s">
        <v>9</v>
      </c>
      <c r="G32" s="35" t="s">
        <v>20</v>
      </c>
      <c r="H32" s="48"/>
      <c r="I32" s="43" t="s">
        <v>10</v>
      </c>
      <c r="J32" s="43"/>
      <c r="K32" s="39">
        <v>0</v>
      </c>
      <c r="L32" s="47"/>
      <c r="M32" s="47"/>
      <c r="N32" s="46"/>
    </row>
    <row r="33" spans="1:14" ht="11.25">
      <c r="A33" s="36" t="s">
        <v>87</v>
      </c>
      <c r="B33" s="37">
        <v>2000</v>
      </c>
      <c r="C33" s="38">
        <v>8.25</v>
      </c>
      <c r="D33" s="39">
        <v>7.45</v>
      </c>
      <c r="E33" s="39">
        <f aca="true" t="shared" si="4" ref="E33:E40">$B33*$D33</f>
        <v>14900</v>
      </c>
      <c r="F33" s="40">
        <f>$E33/$K37</f>
        <v>0.04153694936405433</v>
      </c>
      <c r="G33" s="39">
        <f aca="true" t="shared" si="5" ref="G33:G40">$E33-($B33*$C33)</f>
        <v>-1600</v>
      </c>
      <c r="H33" s="50"/>
      <c r="I33" s="152" t="s">
        <v>17</v>
      </c>
      <c r="J33" s="152"/>
      <c r="K33" s="39">
        <v>45627.01</v>
      </c>
      <c r="L33" s="47"/>
      <c r="M33" s="47"/>
      <c r="N33" s="46"/>
    </row>
    <row r="34" spans="1:14" ht="11.25">
      <c r="A34" s="36"/>
      <c r="B34" s="37"/>
      <c r="C34" s="38"/>
      <c r="D34" s="39"/>
      <c r="E34" s="39"/>
      <c r="F34" s="40"/>
      <c r="G34" s="39"/>
      <c r="H34" s="48"/>
      <c r="I34" s="43" t="s">
        <v>51</v>
      </c>
      <c r="J34" s="43"/>
      <c r="K34" s="39">
        <f>-K39*M39</f>
        <v>0</v>
      </c>
      <c r="L34" s="47"/>
      <c r="M34" s="47"/>
      <c r="N34" s="46"/>
    </row>
    <row r="35" spans="1:14" ht="11.25">
      <c r="A35" s="36" t="s">
        <v>73</v>
      </c>
      <c r="B35" s="37">
        <v>4000</v>
      </c>
      <c r="C35" s="38">
        <v>5.93</v>
      </c>
      <c r="D35" s="39">
        <v>5.4</v>
      </c>
      <c r="E35" s="39">
        <f t="shared" si="4"/>
        <v>21600</v>
      </c>
      <c r="F35" s="40">
        <f>$E35/$K37</f>
        <v>0.060214638004266685</v>
      </c>
      <c r="G35" s="39">
        <f t="shared" si="5"/>
        <v>-2120</v>
      </c>
      <c r="H35" s="50"/>
      <c r="I35" s="43" t="s">
        <v>50</v>
      </c>
      <c r="J35" s="43"/>
      <c r="K35" s="39">
        <v>0</v>
      </c>
      <c r="L35" s="47"/>
      <c r="M35" s="47"/>
      <c r="N35" s="46"/>
    </row>
    <row r="36" spans="1:14" ht="11.25">
      <c r="A36" s="36" t="s">
        <v>92</v>
      </c>
      <c r="B36" s="37">
        <v>2000</v>
      </c>
      <c r="C36" s="38">
        <v>14.94</v>
      </c>
      <c r="D36" s="39">
        <v>11.2</v>
      </c>
      <c r="E36" s="39">
        <f t="shared" si="4"/>
        <v>22400</v>
      </c>
      <c r="F36" s="40">
        <f>$E36/$K37</f>
        <v>0.06244480978220249</v>
      </c>
      <c r="G36" s="39">
        <f t="shared" si="5"/>
        <v>-7480</v>
      </c>
      <c r="H36" s="48"/>
      <c r="I36" s="146" t="s">
        <v>22</v>
      </c>
      <c r="J36" s="146"/>
      <c r="K36" s="41">
        <f>SUM($K31:$K35)</f>
        <v>180941.7624999999</v>
      </c>
      <c r="L36" s="42">
        <f>$K36/$K37</f>
        <v>0.5044140152218283</v>
      </c>
      <c r="M36" s="45">
        <v>37964</v>
      </c>
      <c r="N36" s="46"/>
    </row>
    <row r="37" spans="1:14" ht="11.25">
      <c r="A37" s="36" t="s">
        <v>91</v>
      </c>
      <c r="B37" s="37">
        <v>7000</v>
      </c>
      <c r="C37" s="38">
        <v>3.43</v>
      </c>
      <c r="D37" s="39">
        <v>2.7</v>
      </c>
      <c r="E37" s="39">
        <f t="shared" si="4"/>
        <v>18900</v>
      </c>
      <c r="F37" s="40">
        <f>$E37/$K37</f>
        <v>0.05268780825373335</v>
      </c>
      <c r="G37" s="39">
        <f t="shared" si="5"/>
        <v>-5110</v>
      </c>
      <c r="H37" s="48"/>
      <c r="I37" s="147" t="s">
        <v>11</v>
      </c>
      <c r="J37" s="147"/>
      <c r="K37" s="58">
        <f>SUM($E42,$K36)</f>
        <v>358716.7624999999</v>
      </c>
      <c r="L37" s="44">
        <f>SUM($F42,$L36)</f>
        <v>1</v>
      </c>
      <c r="M37" s="51"/>
      <c r="N37" s="80"/>
    </row>
    <row r="38" spans="1:14" ht="11.25">
      <c r="A38" s="36" t="s">
        <v>97</v>
      </c>
      <c r="B38" s="37">
        <v>1000</v>
      </c>
      <c r="C38" s="38">
        <v>18.2</v>
      </c>
      <c r="D38" s="39">
        <v>15.5</v>
      </c>
      <c r="E38" s="39">
        <f t="shared" si="4"/>
        <v>15500</v>
      </c>
      <c r="F38" s="40">
        <f>$E38/$K37</f>
        <v>0.043209578197506184</v>
      </c>
      <c r="G38" s="39">
        <f t="shared" si="5"/>
        <v>-2700</v>
      </c>
      <c r="H38" s="48"/>
      <c r="I38" s="71" t="s">
        <v>52</v>
      </c>
      <c r="J38" s="71"/>
      <c r="K38" s="37">
        <v>31647.90041358622</v>
      </c>
      <c r="L38" s="72"/>
      <c r="M38" s="73"/>
      <c r="N38" s="46"/>
    </row>
    <row r="39" spans="1:14" ht="11.25">
      <c r="A39" s="36" t="s">
        <v>101</v>
      </c>
      <c r="B39" s="37">
        <v>1300</v>
      </c>
      <c r="C39" s="38">
        <v>46.7</v>
      </c>
      <c r="D39" s="39">
        <v>43.25</v>
      </c>
      <c r="E39" s="39">
        <f t="shared" si="4"/>
        <v>56225</v>
      </c>
      <c r="F39" s="40">
        <f>$E39/$K37</f>
        <v>0.15673926026805066</v>
      </c>
      <c r="G39" s="39">
        <f t="shared" si="5"/>
        <v>-4485.000000000007</v>
      </c>
      <c r="H39" s="48"/>
      <c r="I39" s="71" t="s">
        <v>53</v>
      </c>
      <c r="J39" s="71"/>
      <c r="K39" s="74">
        <v>0</v>
      </c>
      <c r="L39" s="75" t="s">
        <v>54</v>
      </c>
      <c r="M39" s="94">
        <v>0</v>
      </c>
      <c r="N39" s="46"/>
    </row>
    <row r="40" spans="1:14" ht="11.25">
      <c r="A40" s="36" t="s">
        <v>108</v>
      </c>
      <c r="B40" s="37">
        <v>5000</v>
      </c>
      <c r="C40" s="38">
        <v>5.8</v>
      </c>
      <c r="D40" s="39">
        <v>5.65</v>
      </c>
      <c r="E40" s="39">
        <f t="shared" si="4"/>
        <v>28250</v>
      </c>
      <c r="F40" s="40">
        <f>$E40/$K37</f>
        <v>0.07875294090835805</v>
      </c>
      <c r="G40" s="39">
        <f t="shared" si="5"/>
        <v>-750</v>
      </c>
      <c r="H40" s="48"/>
      <c r="I40" s="71" t="s">
        <v>55</v>
      </c>
      <c r="J40" s="71"/>
      <c r="K40" s="74">
        <v>0</v>
      </c>
      <c r="L40" s="75" t="s">
        <v>54</v>
      </c>
      <c r="M40" s="94">
        <v>0</v>
      </c>
      <c r="N40" s="46"/>
    </row>
    <row r="41" spans="1:14" ht="11.25">
      <c r="A41" s="36"/>
      <c r="B41" s="37"/>
      <c r="C41" s="38"/>
      <c r="D41" s="39"/>
      <c r="E41" s="39"/>
      <c r="F41" s="40"/>
      <c r="G41" s="39"/>
      <c r="H41" s="48"/>
      <c r="I41" s="76" t="s">
        <v>56</v>
      </c>
      <c r="J41" s="77"/>
      <c r="K41" s="78">
        <f>$K38-$K39+$K40</f>
        <v>31647.90041358622</v>
      </c>
      <c r="L41" s="46"/>
      <c r="M41" s="46"/>
      <c r="N41" s="46"/>
    </row>
    <row r="42" spans="1:14" ht="11.25">
      <c r="A42" s="148" t="s">
        <v>16</v>
      </c>
      <c r="B42" s="148"/>
      <c r="C42" s="148"/>
      <c r="D42" s="41"/>
      <c r="E42" s="41">
        <f>SUM($E33:$E41)</f>
        <v>177775</v>
      </c>
      <c r="F42" s="42">
        <f>SUM($F33:$F41)</f>
        <v>0.49558598477817173</v>
      </c>
      <c r="G42" s="39">
        <f>SUM(G33:G41)</f>
        <v>-24245.000000000007</v>
      </c>
      <c r="H42" s="46"/>
      <c r="I42" s="149" t="s">
        <v>57</v>
      </c>
      <c r="J42" s="149"/>
      <c r="K42" s="79">
        <f>K37/K41</f>
        <v>11.334614865825516</v>
      </c>
      <c r="L42" s="46"/>
      <c r="M42" s="46"/>
      <c r="N42" s="46"/>
    </row>
    <row r="43" spans="1:14" ht="11.25">
      <c r="A43" s="52"/>
      <c r="B43" s="52"/>
      <c r="C43" s="52"/>
      <c r="D43" s="53"/>
      <c r="E43" s="48"/>
      <c r="F43" s="48"/>
      <c r="G43" s="48"/>
      <c r="H43" s="48"/>
      <c r="I43" s="70"/>
      <c r="J43" s="70"/>
      <c r="K43" s="70"/>
      <c r="L43" s="70"/>
      <c r="M43" s="46"/>
      <c r="N43" s="46"/>
    </row>
    <row r="44" spans="1:14" ht="15.75">
      <c r="A44" s="52"/>
      <c r="B44" s="52"/>
      <c r="C44" s="52"/>
      <c r="D44" s="46"/>
      <c r="E44" s="46"/>
      <c r="F44" s="48"/>
      <c r="G44" s="89" t="s">
        <v>27</v>
      </c>
      <c r="H44" s="150">
        <v>37959</v>
      </c>
      <c r="I44" s="150"/>
      <c r="J44" s="46"/>
      <c r="K44" s="46"/>
      <c r="L44" s="46"/>
      <c r="M44" s="46"/>
      <c r="N44" s="46"/>
    </row>
    <row r="45" spans="1:14" ht="11.25">
      <c r="A45" s="151" t="s">
        <v>23</v>
      </c>
      <c r="B45" s="151"/>
      <c r="C45" s="151"/>
      <c r="D45" s="151"/>
      <c r="E45" s="151"/>
      <c r="F45" s="151"/>
      <c r="G45" s="151"/>
      <c r="H45" s="49"/>
      <c r="I45" s="152" t="s">
        <v>21</v>
      </c>
      <c r="J45" s="152"/>
      <c r="K45" s="39">
        <v>180941.7624999999</v>
      </c>
      <c r="L45" s="47"/>
      <c r="M45" s="47"/>
      <c r="N45" s="46"/>
    </row>
    <row r="46" spans="1:14" ht="11.25">
      <c r="A46" s="35" t="s">
        <v>2</v>
      </c>
      <c r="B46" s="35" t="s">
        <v>59</v>
      </c>
      <c r="C46" s="35" t="s">
        <v>58</v>
      </c>
      <c r="D46" s="35" t="s">
        <v>8</v>
      </c>
      <c r="E46" s="35" t="s">
        <v>61</v>
      </c>
      <c r="F46" s="35" t="s">
        <v>9</v>
      </c>
      <c r="G46" s="35" t="s">
        <v>20</v>
      </c>
      <c r="H46" s="48"/>
      <c r="I46" s="43" t="s">
        <v>10</v>
      </c>
      <c r="J46" s="43"/>
      <c r="K46" s="39">
        <v>0</v>
      </c>
      <c r="L46" s="47"/>
      <c r="M46" s="47"/>
      <c r="N46" s="46"/>
    </row>
    <row r="47" spans="1:14" ht="11.25">
      <c r="A47" s="36" t="s">
        <v>87</v>
      </c>
      <c r="B47" s="37">
        <v>2000</v>
      </c>
      <c r="C47" s="38">
        <v>8.25</v>
      </c>
      <c r="D47" s="39">
        <v>7.45</v>
      </c>
      <c r="E47" s="39">
        <f aca="true" t="shared" si="6" ref="E47:E54">$B47*$D47</f>
        <v>14900</v>
      </c>
      <c r="F47" s="40">
        <f>$E47/$K51</f>
        <v>0.04190452611981885</v>
      </c>
      <c r="G47" s="39">
        <f aca="true" t="shared" si="7" ref="G47:G54">$E47-($B47*$C47)</f>
        <v>-1600</v>
      </c>
      <c r="H47" s="50"/>
      <c r="I47" s="152" t="s">
        <v>17</v>
      </c>
      <c r="J47" s="152"/>
      <c r="K47" s="39">
        <v>10778.42</v>
      </c>
      <c r="L47" s="47"/>
      <c r="M47" s="47"/>
      <c r="N47" s="46"/>
    </row>
    <row r="48" spans="1:14" ht="11.25">
      <c r="A48" s="36"/>
      <c r="B48" s="37"/>
      <c r="C48" s="38"/>
      <c r="D48" s="39"/>
      <c r="E48" s="39"/>
      <c r="F48" s="40"/>
      <c r="G48" s="39"/>
      <c r="H48" s="48"/>
      <c r="I48" s="43" t="s">
        <v>51</v>
      </c>
      <c r="J48" s="43"/>
      <c r="K48" s="39">
        <f>-K53*M53</f>
        <v>0</v>
      </c>
      <c r="L48" s="47"/>
      <c r="M48" s="47"/>
      <c r="N48" s="46"/>
    </row>
    <row r="49" spans="1:14" ht="11.25">
      <c r="A49" s="36" t="s">
        <v>73</v>
      </c>
      <c r="B49" s="37">
        <v>2000</v>
      </c>
      <c r="C49" s="38">
        <v>5.93</v>
      </c>
      <c r="D49" s="39">
        <v>5.1</v>
      </c>
      <c r="E49" s="39">
        <f t="shared" si="6"/>
        <v>10200</v>
      </c>
      <c r="F49" s="40">
        <f>$E49/$K51</f>
        <v>0.028686319894104178</v>
      </c>
      <c r="G49" s="39">
        <f t="shared" si="7"/>
        <v>-1660</v>
      </c>
      <c r="H49" s="50"/>
      <c r="I49" s="43" t="s">
        <v>50</v>
      </c>
      <c r="J49" s="43"/>
      <c r="K49" s="39">
        <v>0</v>
      </c>
      <c r="L49" s="47"/>
      <c r="M49" s="47"/>
      <c r="N49" s="46"/>
    </row>
    <row r="50" spans="1:14" ht="11.25">
      <c r="A50" s="36" t="s">
        <v>92</v>
      </c>
      <c r="B50" s="37">
        <v>2000</v>
      </c>
      <c r="C50" s="38">
        <v>14.94</v>
      </c>
      <c r="D50" s="39">
        <v>10.5</v>
      </c>
      <c r="E50" s="39">
        <f t="shared" si="6"/>
        <v>21000</v>
      </c>
      <c r="F50" s="40">
        <f>$E50/$K51</f>
        <v>0.05906007037021448</v>
      </c>
      <c r="G50" s="39">
        <f t="shared" si="7"/>
        <v>-8880</v>
      </c>
      <c r="H50" s="48"/>
      <c r="I50" s="146" t="s">
        <v>22</v>
      </c>
      <c r="J50" s="146"/>
      <c r="K50" s="41">
        <f>SUM($K45:$K49)</f>
        <v>191720.1824999999</v>
      </c>
      <c r="L50" s="42">
        <f>$K50/$K51</f>
        <v>0.5391908318971599</v>
      </c>
      <c r="M50" s="45">
        <v>37966</v>
      </c>
      <c r="N50" s="46"/>
    </row>
    <row r="51" spans="1:14" ht="11.25">
      <c r="A51" s="36" t="s">
        <v>91</v>
      </c>
      <c r="B51" s="37">
        <v>7000</v>
      </c>
      <c r="C51" s="38">
        <v>3.43</v>
      </c>
      <c r="D51" s="39">
        <v>2.7</v>
      </c>
      <c r="E51" s="39">
        <f t="shared" si="6"/>
        <v>18900</v>
      </c>
      <c r="F51" s="40">
        <f>$E51/$K51</f>
        <v>0.05315406333319304</v>
      </c>
      <c r="G51" s="39">
        <f t="shared" si="7"/>
        <v>-5110</v>
      </c>
      <c r="H51" s="48"/>
      <c r="I51" s="147" t="s">
        <v>11</v>
      </c>
      <c r="J51" s="147"/>
      <c r="K51" s="58">
        <f>SUM($E56,$K50)</f>
        <v>355570.1824999999</v>
      </c>
      <c r="L51" s="44">
        <f>SUM($F56,$L50)</f>
        <v>1</v>
      </c>
      <c r="M51" s="51"/>
      <c r="N51" s="80"/>
    </row>
    <row r="52" spans="1:14" ht="11.25">
      <c r="A52" s="36" t="s">
        <v>97</v>
      </c>
      <c r="B52" s="37">
        <v>1000</v>
      </c>
      <c r="C52" s="38">
        <v>18.2</v>
      </c>
      <c r="D52" s="39">
        <v>14.7</v>
      </c>
      <c r="E52" s="39">
        <f t="shared" si="6"/>
        <v>14700</v>
      </c>
      <c r="F52" s="40">
        <f>$E52/$K51</f>
        <v>0.04134204925915014</v>
      </c>
      <c r="G52" s="39">
        <f t="shared" si="7"/>
        <v>-3500</v>
      </c>
      <c r="H52" s="48"/>
      <c r="I52" s="71" t="s">
        <v>52</v>
      </c>
      <c r="J52" s="71"/>
      <c r="K52" s="37">
        <v>31647.90041358622</v>
      </c>
      <c r="L52" s="72"/>
      <c r="M52" s="73"/>
      <c r="N52" s="46"/>
    </row>
    <row r="53" spans="1:14" ht="11.25">
      <c r="A53" s="36" t="s">
        <v>101</v>
      </c>
      <c r="B53" s="37">
        <v>1300</v>
      </c>
      <c r="C53" s="38">
        <v>46.7</v>
      </c>
      <c r="D53" s="39">
        <v>43</v>
      </c>
      <c r="E53" s="39">
        <f t="shared" si="6"/>
        <v>55900</v>
      </c>
      <c r="F53" s="40">
        <f>$E53/$K51</f>
        <v>0.15721228255690428</v>
      </c>
      <c r="G53" s="39">
        <f t="shared" si="7"/>
        <v>-4810.000000000007</v>
      </c>
      <c r="H53" s="48"/>
      <c r="I53" s="71" t="s">
        <v>53</v>
      </c>
      <c r="J53" s="71"/>
      <c r="K53" s="74">
        <v>0</v>
      </c>
      <c r="L53" s="75" t="s">
        <v>54</v>
      </c>
      <c r="M53" s="94">
        <v>0</v>
      </c>
      <c r="N53" s="46"/>
    </row>
    <row r="54" spans="1:14" ht="11.25">
      <c r="A54" s="36" t="s">
        <v>108</v>
      </c>
      <c r="B54" s="37">
        <v>5000</v>
      </c>
      <c r="C54" s="38">
        <v>5.8</v>
      </c>
      <c r="D54" s="39">
        <v>5.65</v>
      </c>
      <c r="E54" s="39">
        <f t="shared" si="6"/>
        <v>28250</v>
      </c>
      <c r="F54" s="40">
        <f>$E54/$K51</f>
        <v>0.0794498565694552</v>
      </c>
      <c r="G54" s="39">
        <f t="shared" si="7"/>
        <v>-750</v>
      </c>
      <c r="H54" s="48"/>
      <c r="I54" s="71" t="s">
        <v>55</v>
      </c>
      <c r="J54" s="71"/>
      <c r="K54" s="74">
        <v>0</v>
      </c>
      <c r="L54" s="75" t="s">
        <v>54</v>
      </c>
      <c r="M54" s="94">
        <v>0</v>
      </c>
      <c r="N54" s="46"/>
    </row>
    <row r="55" spans="1:14" ht="11.25">
      <c r="A55" s="36"/>
      <c r="B55" s="37"/>
      <c r="C55" s="38"/>
      <c r="D55" s="39"/>
      <c r="E55" s="39"/>
      <c r="F55" s="40"/>
      <c r="G55" s="39"/>
      <c r="H55" s="48"/>
      <c r="I55" s="76" t="s">
        <v>56</v>
      </c>
      <c r="J55" s="77"/>
      <c r="K55" s="78">
        <f>$K52-$K53+$K54</f>
        <v>31647.90041358622</v>
      </c>
      <c r="L55" s="46"/>
      <c r="M55" s="46"/>
      <c r="N55" s="46"/>
    </row>
    <row r="56" spans="1:14" ht="11.25">
      <c r="A56" s="148" t="s">
        <v>16</v>
      </c>
      <c r="B56" s="148"/>
      <c r="C56" s="148"/>
      <c r="D56" s="41"/>
      <c r="E56" s="41">
        <f>SUM($E47:$E55)</f>
        <v>163850</v>
      </c>
      <c r="F56" s="42">
        <f>SUM($F47:$F55)</f>
        <v>0.46080916810284017</v>
      </c>
      <c r="G56" s="39">
        <f>SUM(G47:G55)</f>
        <v>-26310.000000000007</v>
      </c>
      <c r="H56" s="46"/>
      <c r="I56" s="149" t="s">
        <v>57</v>
      </c>
      <c r="J56" s="149"/>
      <c r="K56" s="79">
        <f>K51/K55</f>
        <v>11.235190260752846</v>
      </c>
      <c r="L56" s="46"/>
      <c r="M56" s="46"/>
      <c r="N56" s="46"/>
    </row>
    <row r="57" spans="1:14" ht="11.25">
      <c r="A57" s="52"/>
      <c r="B57" s="52"/>
      <c r="C57" s="52"/>
      <c r="D57" s="53"/>
      <c r="E57" s="48"/>
      <c r="F57" s="48"/>
      <c r="G57" s="48"/>
      <c r="H57" s="48"/>
      <c r="I57" s="70"/>
      <c r="J57" s="70"/>
      <c r="K57" s="70"/>
      <c r="L57" s="70"/>
      <c r="M57" s="46"/>
      <c r="N57" s="46"/>
    </row>
  </sheetData>
  <mergeCells count="32">
    <mergeCell ref="I50:J50"/>
    <mergeCell ref="I51:J51"/>
    <mergeCell ref="A56:C56"/>
    <mergeCell ref="I56:J56"/>
    <mergeCell ref="H44:I44"/>
    <mergeCell ref="A45:G45"/>
    <mergeCell ref="I45:J45"/>
    <mergeCell ref="I47:J47"/>
    <mergeCell ref="I7:J7"/>
    <mergeCell ref="I8:J8"/>
    <mergeCell ref="A13:C13"/>
    <mergeCell ref="I13:J13"/>
    <mergeCell ref="H1:I1"/>
    <mergeCell ref="A2:G2"/>
    <mergeCell ref="I2:J2"/>
    <mergeCell ref="I4:J4"/>
    <mergeCell ref="I21:J21"/>
    <mergeCell ref="I22:J22"/>
    <mergeCell ref="A27:C27"/>
    <mergeCell ref="I27:J27"/>
    <mergeCell ref="H15:I15"/>
    <mergeCell ref="A16:G16"/>
    <mergeCell ref="I16:J16"/>
    <mergeCell ref="I18:J18"/>
    <mergeCell ref="H30:I30"/>
    <mergeCell ref="A31:G31"/>
    <mergeCell ref="I31:J31"/>
    <mergeCell ref="I33:J33"/>
    <mergeCell ref="I36:J36"/>
    <mergeCell ref="I37:J37"/>
    <mergeCell ref="A42:C42"/>
    <mergeCell ref="I42:J4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0">
      <selection activeCell="K36" sqref="K36"/>
    </sheetView>
  </sheetViews>
  <sheetFormatPr defaultColWidth="9.140625" defaultRowHeight="21.75"/>
  <cols>
    <col min="1" max="1" width="8.28125" style="3" customWidth="1"/>
    <col min="2" max="2" width="7.7109375" style="3" customWidth="1"/>
    <col min="3" max="3" width="6.421875" style="3" customWidth="1"/>
    <col min="4" max="4" width="7.00390625" style="4" customWidth="1"/>
    <col min="5" max="5" width="10.00390625" style="5" customWidth="1"/>
    <col min="6" max="6" width="7.57421875" style="5" customWidth="1"/>
    <col min="7" max="7" width="9.140625" style="5" customWidth="1"/>
    <col min="8" max="8" width="2.140625" style="5" customWidth="1"/>
    <col min="9" max="9" width="12.57421875" style="2" customWidth="1"/>
    <col min="10" max="10" width="7.140625" style="2" customWidth="1"/>
    <col min="11" max="11" width="12.28125" style="2" customWidth="1"/>
    <col min="12" max="12" width="7.140625" style="2" customWidth="1"/>
    <col min="13" max="13" width="8.28125" style="2" customWidth="1"/>
    <col min="14" max="14" width="1.8515625" style="2" customWidth="1"/>
    <col min="15" max="16384" width="14.7109375" style="2" customWidth="1"/>
  </cols>
  <sheetData>
    <row r="1" spans="1:14" ht="15.75">
      <c r="A1" s="52"/>
      <c r="B1" s="52"/>
      <c r="C1" s="52"/>
      <c r="D1" s="46"/>
      <c r="E1" s="46"/>
      <c r="F1" s="48"/>
      <c r="G1" s="89" t="s">
        <v>34</v>
      </c>
      <c r="H1" s="150">
        <v>37963</v>
      </c>
      <c r="I1" s="150"/>
      <c r="J1" s="46"/>
      <c r="K1" s="46"/>
      <c r="L1" s="46"/>
      <c r="M1" s="46"/>
      <c r="N1" s="46"/>
    </row>
    <row r="2" spans="1:14" ht="11.25">
      <c r="A2" s="151" t="s">
        <v>23</v>
      </c>
      <c r="B2" s="151"/>
      <c r="C2" s="151"/>
      <c r="D2" s="151"/>
      <c r="E2" s="151"/>
      <c r="F2" s="151"/>
      <c r="G2" s="151"/>
      <c r="H2" s="49"/>
      <c r="I2" s="152" t="s">
        <v>21</v>
      </c>
      <c r="J2" s="152"/>
      <c r="K2" s="39">
        <v>191720.1824999999</v>
      </c>
      <c r="L2" s="47"/>
      <c r="M2" s="47"/>
      <c r="N2" s="46"/>
    </row>
    <row r="3" spans="1:14" ht="11.25">
      <c r="A3" s="35" t="s">
        <v>2</v>
      </c>
      <c r="B3" s="35" t="s">
        <v>59</v>
      </c>
      <c r="C3" s="35" t="s">
        <v>58</v>
      </c>
      <c r="D3" s="35" t="s">
        <v>8</v>
      </c>
      <c r="E3" s="35" t="s">
        <v>61</v>
      </c>
      <c r="F3" s="35" t="s">
        <v>9</v>
      </c>
      <c r="G3" s="35" t="s">
        <v>20</v>
      </c>
      <c r="H3" s="48"/>
      <c r="I3" s="43" t="s">
        <v>10</v>
      </c>
      <c r="J3" s="43"/>
      <c r="K3" s="39">
        <v>-21107</v>
      </c>
      <c r="L3" s="47"/>
      <c r="M3" s="47"/>
      <c r="N3" s="46"/>
    </row>
    <row r="4" spans="1:14" ht="11.25">
      <c r="A4" s="36" t="s">
        <v>87</v>
      </c>
      <c r="B4" s="37">
        <v>2000</v>
      </c>
      <c r="C4" s="38">
        <v>8.25</v>
      </c>
      <c r="D4" s="39">
        <v>7.45</v>
      </c>
      <c r="E4" s="39">
        <f aca="true" t="shared" si="0" ref="E4:E11">$B4*$D4</f>
        <v>14900</v>
      </c>
      <c r="F4" s="40">
        <f>$E4/$K8</f>
        <v>0.04243222873579875</v>
      </c>
      <c r="G4" s="39">
        <f aca="true" t="shared" si="1" ref="G4:G11">$E4-($B4*$C4)</f>
        <v>-1600</v>
      </c>
      <c r="H4" s="50"/>
      <c r="I4" s="152" t="s">
        <v>17</v>
      </c>
      <c r="J4" s="152"/>
      <c r="K4" s="39">
        <v>0</v>
      </c>
      <c r="L4" s="47"/>
      <c r="M4" s="47"/>
      <c r="N4" s="46"/>
    </row>
    <row r="5" spans="1:14" ht="11.25">
      <c r="A5" s="36" t="s">
        <v>73</v>
      </c>
      <c r="B5" s="37">
        <v>2000</v>
      </c>
      <c r="C5" s="38">
        <v>5.93</v>
      </c>
      <c r="D5" s="39">
        <v>4.96</v>
      </c>
      <c r="E5" s="39">
        <f t="shared" si="0"/>
        <v>9920</v>
      </c>
      <c r="F5" s="40">
        <f>$E5/$K8</f>
        <v>0.028250181816048565</v>
      </c>
      <c r="G5" s="39">
        <f t="shared" si="1"/>
        <v>-1940</v>
      </c>
      <c r="H5" s="48"/>
      <c r="I5" s="43" t="s">
        <v>51</v>
      </c>
      <c r="J5" s="43"/>
      <c r="K5" s="39">
        <f>-K10*M10</f>
        <v>0</v>
      </c>
      <c r="L5" s="47"/>
      <c r="M5" s="47"/>
      <c r="N5" s="46"/>
    </row>
    <row r="6" spans="1:14" ht="11.25">
      <c r="A6" s="36" t="s">
        <v>92</v>
      </c>
      <c r="B6" s="37">
        <v>2000</v>
      </c>
      <c r="C6" s="38">
        <v>14.94</v>
      </c>
      <c r="D6" s="39">
        <v>10.6</v>
      </c>
      <c r="E6" s="39">
        <f t="shared" si="0"/>
        <v>21200</v>
      </c>
      <c r="F6" s="40">
        <f>$E6/$K8</f>
        <v>0.06037337242945863</v>
      </c>
      <c r="G6" s="39">
        <f t="shared" si="1"/>
        <v>-8680</v>
      </c>
      <c r="H6" s="50"/>
      <c r="I6" s="43" t="s">
        <v>50</v>
      </c>
      <c r="J6" s="43"/>
      <c r="K6" s="39">
        <v>0</v>
      </c>
      <c r="L6" s="47"/>
      <c r="M6" s="47"/>
      <c r="N6" s="46"/>
    </row>
    <row r="7" spans="1:14" ht="11.25">
      <c r="A7" s="36" t="s">
        <v>91</v>
      </c>
      <c r="B7" s="37">
        <v>7000</v>
      </c>
      <c r="C7" s="38">
        <v>3.43</v>
      </c>
      <c r="D7" s="39">
        <v>2.62</v>
      </c>
      <c r="E7" s="39">
        <f t="shared" si="0"/>
        <v>18340</v>
      </c>
      <c r="F7" s="40">
        <f>$E7/$K8</f>
        <v>0.0522286627526543</v>
      </c>
      <c r="G7" s="39">
        <f t="shared" si="1"/>
        <v>-5670</v>
      </c>
      <c r="H7" s="48"/>
      <c r="I7" s="146" t="s">
        <v>22</v>
      </c>
      <c r="J7" s="146"/>
      <c r="K7" s="41">
        <f>SUM($K2:$K6)</f>
        <v>170613.1824999999</v>
      </c>
      <c r="L7" s="42">
        <f>$K7/$K8</f>
        <v>0.48587232115319284</v>
      </c>
      <c r="M7" s="45">
        <v>37967</v>
      </c>
      <c r="N7" s="46"/>
    </row>
    <row r="8" spans="1:14" ht="11.25">
      <c r="A8" s="36" t="s">
        <v>97</v>
      </c>
      <c r="B8" s="37">
        <v>1000</v>
      </c>
      <c r="C8" s="38">
        <v>18.2</v>
      </c>
      <c r="D8" s="39">
        <v>14.4</v>
      </c>
      <c r="E8" s="39">
        <f t="shared" si="0"/>
        <v>14400</v>
      </c>
      <c r="F8" s="40">
        <f>$E8/$K8</f>
        <v>0.04100832844265114</v>
      </c>
      <c r="G8" s="39">
        <f t="shared" si="1"/>
        <v>-3800</v>
      </c>
      <c r="H8" s="48"/>
      <c r="I8" s="147" t="s">
        <v>11</v>
      </c>
      <c r="J8" s="147"/>
      <c r="K8" s="58">
        <f>SUM($E13,$K7)</f>
        <v>351148.1824999999</v>
      </c>
      <c r="L8" s="44">
        <f>SUM($F13,$L7)</f>
        <v>1</v>
      </c>
      <c r="M8" s="51"/>
      <c r="N8" s="80"/>
    </row>
    <row r="9" spans="1:14" ht="11.25">
      <c r="A9" s="36" t="s">
        <v>101</v>
      </c>
      <c r="B9" s="37">
        <v>1300</v>
      </c>
      <c r="C9" s="38">
        <v>46.7</v>
      </c>
      <c r="D9" s="39">
        <v>41.75</v>
      </c>
      <c r="E9" s="39">
        <f t="shared" si="0"/>
        <v>54275</v>
      </c>
      <c r="F9" s="40">
        <f>$E9/$K8</f>
        <v>0.15456437682117297</v>
      </c>
      <c r="G9" s="39">
        <f t="shared" si="1"/>
        <v>-6435.000000000007</v>
      </c>
      <c r="H9" s="48"/>
      <c r="I9" s="71" t="s">
        <v>52</v>
      </c>
      <c r="J9" s="71"/>
      <c r="K9" s="37">
        <v>31647.90041358622</v>
      </c>
      <c r="L9" s="72"/>
      <c r="M9" s="73"/>
      <c r="N9" s="46"/>
    </row>
    <row r="10" spans="1:14" ht="11.25">
      <c r="A10" s="36" t="s">
        <v>108</v>
      </c>
      <c r="B10" s="37">
        <v>5000</v>
      </c>
      <c r="C10" s="38">
        <v>5.8</v>
      </c>
      <c r="D10" s="39">
        <v>5.3</v>
      </c>
      <c r="E10" s="39">
        <f t="shared" si="0"/>
        <v>26500</v>
      </c>
      <c r="F10" s="40">
        <f>$E10/$K8</f>
        <v>0.07546671553682328</v>
      </c>
      <c r="G10" s="39">
        <f t="shared" si="1"/>
        <v>-2500</v>
      </c>
      <c r="H10" s="48"/>
      <c r="I10" s="71" t="s">
        <v>53</v>
      </c>
      <c r="J10" s="71"/>
      <c r="K10" s="74">
        <v>0</v>
      </c>
      <c r="L10" s="75" t="s">
        <v>54</v>
      </c>
      <c r="M10" s="94">
        <v>0</v>
      </c>
      <c r="N10" s="46"/>
    </row>
    <row r="11" spans="1:14" ht="11.25">
      <c r="A11" s="36" t="s">
        <v>121</v>
      </c>
      <c r="B11" s="37">
        <v>500</v>
      </c>
      <c r="C11" s="38">
        <v>42.15</v>
      </c>
      <c r="D11" s="39">
        <v>42</v>
      </c>
      <c r="E11" s="39">
        <f t="shared" si="0"/>
        <v>21000</v>
      </c>
      <c r="F11" s="40">
        <f>$E11/$K8</f>
        <v>0.059803812312199583</v>
      </c>
      <c r="G11" s="39">
        <f t="shared" si="1"/>
        <v>-75</v>
      </c>
      <c r="H11" s="48"/>
      <c r="I11" s="71" t="s">
        <v>55</v>
      </c>
      <c r="J11" s="71"/>
      <c r="K11" s="74">
        <v>0</v>
      </c>
      <c r="L11" s="75" t="s">
        <v>54</v>
      </c>
      <c r="M11" s="94">
        <v>0</v>
      </c>
      <c r="N11" s="46"/>
    </row>
    <row r="12" spans="1:14" ht="11.25">
      <c r="A12" s="36"/>
      <c r="B12" s="37"/>
      <c r="C12" s="38"/>
      <c r="D12" s="39"/>
      <c r="E12" s="39"/>
      <c r="F12" s="40"/>
      <c r="G12" s="39"/>
      <c r="H12" s="48"/>
      <c r="I12" s="76" t="s">
        <v>56</v>
      </c>
      <c r="J12" s="77"/>
      <c r="K12" s="78">
        <f>$K9-$K10+$K11</f>
        <v>31647.90041358622</v>
      </c>
      <c r="L12" s="46"/>
      <c r="M12" s="46"/>
      <c r="N12" s="46"/>
    </row>
    <row r="13" spans="1:14" ht="11.25">
      <c r="A13" s="148" t="s">
        <v>16</v>
      </c>
      <c r="B13" s="148"/>
      <c r="C13" s="148"/>
      <c r="D13" s="41"/>
      <c r="E13" s="41">
        <f>SUM($E4:$E12)</f>
        <v>180535</v>
      </c>
      <c r="F13" s="42">
        <f>SUM($F4:$F12)</f>
        <v>0.5141276788468072</v>
      </c>
      <c r="G13" s="39">
        <f>SUM(G4:G12)</f>
        <v>-30700.000000000007</v>
      </c>
      <c r="H13" s="46"/>
      <c r="I13" s="149" t="s">
        <v>57</v>
      </c>
      <c r="J13" s="149"/>
      <c r="K13" s="79">
        <f>K8/K12</f>
        <v>11.095465351921243</v>
      </c>
      <c r="L13" s="46"/>
      <c r="M13" s="46"/>
      <c r="N13" s="46"/>
    </row>
    <row r="14" spans="1:14" ht="11.25">
      <c r="A14" s="52"/>
      <c r="B14" s="52"/>
      <c r="C14" s="52"/>
      <c r="D14" s="53"/>
      <c r="E14" s="48"/>
      <c r="F14" s="48"/>
      <c r="G14" s="48"/>
      <c r="H14" s="48"/>
      <c r="I14" s="70"/>
      <c r="J14" s="70"/>
      <c r="K14" s="70"/>
      <c r="L14" s="70"/>
      <c r="M14" s="46"/>
      <c r="N14" s="46"/>
    </row>
    <row r="15" spans="1:14" ht="15.75">
      <c r="A15" s="52"/>
      <c r="B15" s="52"/>
      <c r="C15" s="52"/>
      <c r="D15" s="46"/>
      <c r="E15" s="46"/>
      <c r="F15" s="48"/>
      <c r="G15" s="89" t="s">
        <v>36</v>
      </c>
      <c r="H15" s="150">
        <v>37964</v>
      </c>
      <c r="I15" s="150"/>
      <c r="J15" s="46"/>
      <c r="K15" s="46"/>
      <c r="L15" s="46"/>
      <c r="M15" s="46"/>
      <c r="N15" s="46"/>
    </row>
    <row r="16" spans="1:14" ht="11.25">
      <c r="A16" s="151" t="s">
        <v>23</v>
      </c>
      <c r="B16" s="151"/>
      <c r="C16" s="151"/>
      <c r="D16" s="151"/>
      <c r="E16" s="151"/>
      <c r="F16" s="151"/>
      <c r="G16" s="151"/>
      <c r="H16" s="49"/>
      <c r="I16" s="152" t="s">
        <v>21</v>
      </c>
      <c r="J16" s="152"/>
      <c r="K16" s="39">
        <v>170613.1824999999</v>
      </c>
      <c r="L16" s="47"/>
      <c r="M16" s="47"/>
      <c r="N16" s="46"/>
    </row>
    <row r="17" spans="1:14" ht="11.25">
      <c r="A17" s="35" t="s">
        <v>2</v>
      </c>
      <c r="B17" s="35" t="s">
        <v>59</v>
      </c>
      <c r="C17" s="35" t="s">
        <v>58</v>
      </c>
      <c r="D17" s="35" t="s">
        <v>8</v>
      </c>
      <c r="E17" s="35" t="s">
        <v>61</v>
      </c>
      <c r="F17" s="35" t="s">
        <v>9</v>
      </c>
      <c r="G17" s="35" t="s">
        <v>20</v>
      </c>
      <c r="H17" s="48"/>
      <c r="I17" s="43" t="s">
        <v>10</v>
      </c>
      <c r="J17" s="43"/>
      <c r="K17" s="39">
        <v>0</v>
      </c>
      <c r="L17" s="47"/>
      <c r="M17" s="47"/>
      <c r="N17" s="46"/>
    </row>
    <row r="18" spans="1:14" ht="11.25">
      <c r="A18" s="36" t="s">
        <v>87</v>
      </c>
      <c r="B18" s="37">
        <v>2000</v>
      </c>
      <c r="C18" s="38">
        <v>8.25</v>
      </c>
      <c r="D18" s="39">
        <v>7.25</v>
      </c>
      <c r="E18" s="39">
        <f aca="true" t="shared" si="2" ref="E18:E25">$B18*$D18</f>
        <v>14500</v>
      </c>
      <c r="F18" s="40">
        <f>$E18/$K22</f>
        <v>0.041674069502274314</v>
      </c>
      <c r="G18" s="39">
        <f aca="true" t="shared" si="3" ref="G18:G25">$E18-($B18*$C18)</f>
        <v>-2000</v>
      </c>
      <c r="H18" s="50"/>
      <c r="I18" s="152" t="s">
        <v>17</v>
      </c>
      <c r="J18" s="152"/>
      <c r="K18" s="39">
        <v>0</v>
      </c>
      <c r="L18" s="47"/>
      <c r="M18" s="47"/>
      <c r="N18" s="46"/>
    </row>
    <row r="19" spans="1:14" ht="11.25">
      <c r="A19" s="36" t="s">
        <v>73</v>
      </c>
      <c r="B19" s="37">
        <v>2000</v>
      </c>
      <c r="C19" s="38">
        <v>5.93</v>
      </c>
      <c r="D19" s="39">
        <v>4.88</v>
      </c>
      <c r="E19" s="39">
        <f t="shared" si="2"/>
        <v>9760</v>
      </c>
      <c r="F19" s="40">
        <f>$E19/$K22</f>
        <v>0.02805095988566878</v>
      </c>
      <c r="G19" s="39">
        <f t="shared" si="3"/>
        <v>-2100</v>
      </c>
      <c r="H19" s="48"/>
      <c r="I19" s="43" t="s">
        <v>51</v>
      </c>
      <c r="J19" s="43"/>
      <c r="K19" s="39">
        <f>-K24*M24</f>
        <v>0</v>
      </c>
      <c r="L19" s="47"/>
      <c r="M19" s="47"/>
      <c r="N19" s="46"/>
    </row>
    <row r="20" spans="1:14" ht="11.25">
      <c r="A20" s="36" t="s">
        <v>92</v>
      </c>
      <c r="B20" s="37">
        <v>2000</v>
      </c>
      <c r="C20" s="38">
        <v>14.94</v>
      </c>
      <c r="D20" s="39">
        <v>10.4</v>
      </c>
      <c r="E20" s="39">
        <f t="shared" si="2"/>
        <v>20800</v>
      </c>
      <c r="F20" s="40">
        <f>$E20/$K22</f>
        <v>0.05978073418257281</v>
      </c>
      <c r="G20" s="39">
        <f t="shared" si="3"/>
        <v>-9080</v>
      </c>
      <c r="H20" s="50"/>
      <c r="I20" s="43" t="s">
        <v>50</v>
      </c>
      <c r="J20" s="43"/>
      <c r="K20" s="39">
        <v>0</v>
      </c>
      <c r="L20" s="47"/>
      <c r="M20" s="47"/>
      <c r="N20" s="46"/>
    </row>
    <row r="21" spans="1:14" ht="11.25">
      <c r="A21" s="36" t="s">
        <v>91</v>
      </c>
      <c r="B21" s="37">
        <v>7000</v>
      </c>
      <c r="C21" s="38">
        <v>3.43</v>
      </c>
      <c r="D21" s="39">
        <v>2.72</v>
      </c>
      <c r="E21" s="39">
        <f t="shared" si="2"/>
        <v>19040</v>
      </c>
      <c r="F21" s="40">
        <f>$E21/$K22</f>
        <v>0.05472236436712434</v>
      </c>
      <c r="G21" s="39">
        <f t="shared" si="3"/>
        <v>-4970</v>
      </c>
      <c r="H21" s="48"/>
      <c r="I21" s="146" t="s">
        <v>22</v>
      </c>
      <c r="J21" s="146"/>
      <c r="K21" s="41">
        <f>SUM($K16:$K20)</f>
        <v>170613.1824999999</v>
      </c>
      <c r="L21" s="42">
        <f>$K21/$K22</f>
        <v>0.49035487072477296</v>
      </c>
      <c r="M21" s="45">
        <v>37970</v>
      </c>
      <c r="N21" s="46"/>
    </row>
    <row r="22" spans="1:14" ht="11.25">
      <c r="A22" s="36" t="s">
        <v>97</v>
      </c>
      <c r="B22" s="37">
        <v>1000</v>
      </c>
      <c r="C22" s="38">
        <v>18.2</v>
      </c>
      <c r="D22" s="39">
        <v>14.6</v>
      </c>
      <c r="E22" s="39">
        <f t="shared" si="2"/>
        <v>14600</v>
      </c>
      <c r="F22" s="40">
        <f>$E22/$K22</f>
        <v>0.04196147687815207</v>
      </c>
      <c r="G22" s="39">
        <f t="shared" si="3"/>
        <v>-3600</v>
      </c>
      <c r="H22" s="48"/>
      <c r="I22" s="147" t="s">
        <v>11</v>
      </c>
      <c r="J22" s="147"/>
      <c r="K22" s="58">
        <f>SUM($E27,$K21)</f>
        <v>347938.1824999999</v>
      </c>
      <c r="L22" s="44">
        <f>SUM($F27,$L21)</f>
        <v>1</v>
      </c>
      <c r="M22" s="51"/>
      <c r="N22" s="80"/>
    </row>
    <row r="23" spans="1:14" ht="11.25">
      <c r="A23" s="36" t="s">
        <v>101</v>
      </c>
      <c r="B23" s="37">
        <v>1300</v>
      </c>
      <c r="C23" s="38">
        <v>46.7</v>
      </c>
      <c r="D23" s="39">
        <v>40</v>
      </c>
      <c r="E23" s="39">
        <f t="shared" si="2"/>
        <v>52000</v>
      </c>
      <c r="F23" s="40">
        <f>$E23/$K22</f>
        <v>0.14945183545643204</v>
      </c>
      <c r="G23" s="39">
        <f t="shared" si="3"/>
        <v>-8710.000000000007</v>
      </c>
      <c r="H23" s="48"/>
      <c r="I23" s="71" t="s">
        <v>52</v>
      </c>
      <c r="J23" s="71"/>
      <c r="K23" s="37">
        <v>31647.90041358622</v>
      </c>
      <c r="L23" s="72"/>
      <c r="M23" s="73"/>
      <c r="N23" s="46"/>
    </row>
    <row r="24" spans="1:14" ht="11.25">
      <c r="A24" s="36" t="s">
        <v>108</v>
      </c>
      <c r="B24" s="37">
        <v>5000</v>
      </c>
      <c r="C24" s="38">
        <v>5.8</v>
      </c>
      <c r="D24" s="39">
        <v>5.25</v>
      </c>
      <c r="E24" s="39">
        <f t="shared" si="2"/>
        <v>26250</v>
      </c>
      <c r="F24" s="40">
        <f>$E24/$K22</f>
        <v>0.0754444361679104</v>
      </c>
      <c r="G24" s="39">
        <f t="shared" si="3"/>
        <v>-2750</v>
      </c>
      <c r="H24" s="48"/>
      <c r="I24" s="71" t="s">
        <v>53</v>
      </c>
      <c r="J24" s="71"/>
      <c r="K24" s="74">
        <v>0</v>
      </c>
      <c r="L24" s="75" t="s">
        <v>54</v>
      </c>
      <c r="M24" s="94">
        <v>0</v>
      </c>
      <c r="N24" s="46"/>
    </row>
    <row r="25" spans="1:14" ht="11.25">
      <c r="A25" s="36" t="s">
        <v>121</v>
      </c>
      <c r="B25" s="37">
        <v>500</v>
      </c>
      <c r="C25" s="38">
        <v>42.15</v>
      </c>
      <c r="D25" s="39">
        <v>40.75</v>
      </c>
      <c r="E25" s="39">
        <f t="shared" si="2"/>
        <v>20375</v>
      </c>
      <c r="F25" s="40">
        <f>$E25/$K22</f>
        <v>0.058559252835092356</v>
      </c>
      <c r="G25" s="39">
        <f t="shared" si="3"/>
        <v>-700</v>
      </c>
      <c r="H25" s="48"/>
      <c r="I25" s="71" t="s">
        <v>55</v>
      </c>
      <c r="J25" s="71"/>
      <c r="K25" s="74">
        <v>0</v>
      </c>
      <c r="L25" s="75" t="s">
        <v>54</v>
      </c>
      <c r="M25" s="94">
        <v>0</v>
      </c>
      <c r="N25" s="46"/>
    </row>
    <row r="26" spans="1:14" ht="11.25">
      <c r="A26" s="36"/>
      <c r="B26" s="37"/>
      <c r="C26" s="38"/>
      <c r="D26" s="39"/>
      <c r="E26" s="39"/>
      <c r="F26" s="40"/>
      <c r="G26" s="39"/>
      <c r="H26" s="48"/>
      <c r="I26" s="76" t="s">
        <v>56</v>
      </c>
      <c r="J26" s="77"/>
      <c r="K26" s="78">
        <f>$K23-$K24+$K25</f>
        <v>31647.90041358622</v>
      </c>
      <c r="L26" s="46"/>
      <c r="M26" s="46"/>
      <c r="N26" s="46"/>
    </row>
    <row r="27" spans="1:14" ht="11.25">
      <c r="A27" s="148" t="s">
        <v>16</v>
      </c>
      <c r="B27" s="148"/>
      <c r="C27" s="148"/>
      <c r="D27" s="41"/>
      <c r="E27" s="41">
        <f>SUM($E18:$E26)</f>
        <v>177325</v>
      </c>
      <c r="F27" s="42">
        <f>SUM($F18:$F26)</f>
        <v>0.5096451292752271</v>
      </c>
      <c r="G27" s="39">
        <f>SUM(G18:G26)</f>
        <v>-33910.00000000001</v>
      </c>
      <c r="H27" s="46"/>
      <c r="I27" s="149" t="s">
        <v>57</v>
      </c>
      <c r="J27" s="149"/>
      <c r="K27" s="79">
        <f>K22/K26</f>
        <v>10.994036822443757</v>
      </c>
      <c r="L27" s="46"/>
      <c r="M27" s="46"/>
      <c r="N27" s="46"/>
    </row>
    <row r="28" spans="1:14" ht="11.25">
      <c r="A28" s="52"/>
      <c r="B28" s="52"/>
      <c r="C28" s="52"/>
      <c r="D28" s="53"/>
      <c r="E28" s="48"/>
      <c r="F28" s="48"/>
      <c r="G28" s="48"/>
      <c r="H28" s="48"/>
      <c r="I28" s="70"/>
      <c r="J28" s="70"/>
      <c r="K28" s="70"/>
      <c r="L28" s="70"/>
      <c r="M28" s="46"/>
      <c r="N28" s="46"/>
    </row>
    <row r="29" spans="1:14" ht="15.75">
      <c r="A29" s="52"/>
      <c r="B29" s="52"/>
      <c r="C29" s="52"/>
      <c r="D29" s="46"/>
      <c r="E29" s="46"/>
      <c r="F29" s="48"/>
      <c r="G29" s="89" t="s">
        <v>31</v>
      </c>
      <c r="H29" s="150">
        <v>37967</v>
      </c>
      <c r="I29" s="150"/>
      <c r="J29" s="46"/>
      <c r="K29" s="46"/>
      <c r="L29" s="46"/>
      <c r="M29" s="46"/>
      <c r="N29" s="46"/>
    </row>
    <row r="30" spans="1:14" ht="11.25">
      <c r="A30" s="151" t="s">
        <v>23</v>
      </c>
      <c r="B30" s="151"/>
      <c r="C30" s="151"/>
      <c r="D30" s="151"/>
      <c r="E30" s="151"/>
      <c r="F30" s="151"/>
      <c r="G30" s="151"/>
      <c r="H30" s="49"/>
      <c r="I30" s="152" t="s">
        <v>21</v>
      </c>
      <c r="J30" s="152"/>
      <c r="K30" s="39">
        <v>170613.1824999999</v>
      </c>
      <c r="L30" s="47"/>
      <c r="M30" s="47"/>
      <c r="N30" s="46"/>
    </row>
    <row r="31" spans="1:14" ht="11.25">
      <c r="A31" s="35" t="s">
        <v>2</v>
      </c>
      <c r="B31" s="35" t="s">
        <v>59</v>
      </c>
      <c r="C31" s="35" t="s">
        <v>58</v>
      </c>
      <c r="D31" s="35" t="s">
        <v>8</v>
      </c>
      <c r="E31" s="35" t="s">
        <v>61</v>
      </c>
      <c r="F31" s="35" t="s">
        <v>9</v>
      </c>
      <c r="G31" s="35" t="s">
        <v>20</v>
      </c>
      <c r="H31" s="48"/>
      <c r="I31" s="43" t="s">
        <v>10</v>
      </c>
      <c r="J31" s="43"/>
      <c r="K31" s="39">
        <v>0</v>
      </c>
      <c r="L31" s="47"/>
      <c r="M31" s="47"/>
      <c r="N31" s="46"/>
    </row>
    <row r="32" spans="1:14" ht="11.25">
      <c r="A32" s="36" t="s">
        <v>87</v>
      </c>
      <c r="B32" s="37">
        <v>2000</v>
      </c>
      <c r="C32" s="38">
        <v>8.25</v>
      </c>
      <c r="D32" s="39">
        <v>7.15</v>
      </c>
      <c r="E32" s="39">
        <f aca="true" t="shared" si="4" ref="E32:E39">$B32*$D32</f>
        <v>14300</v>
      </c>
      <c r="F32" s="40">
        <f>$E32/$K36</f>
        <v>0.0414803937733781</v>
      </c>
      <c r="G32" s="39">
        <f aca="true" t="shared" si="5" ref="G32:G39">$E32-($B32*$C32)</f>
        <v>-2200</v>
      </c>
      <c r="H32" s="50"/>
      <c r="I32" s="152" t="s">
        <v>17</v>
      </c>
      <c r="J32" s="152"/>
      <c r="K32" s="39">
        <v>21768</v>
      </c>
      <c r="L32" s="47"/>
      <c r="M32" s="47"/>
      <c r="N32" s="46"/>
    </row>
    <row r="33" spans="1:14" ht="11.25">
      <c r="A33" s="36" t="s">
        <v>73</v>
      </c>
      <c r="B33" s="37">
        <v>2000</v>
      </c>
      <c r="C33" s="38">
        <v>5.93</v>
      </c>
      <c r="D33" s="39">
        <v>4.76</v>
      </c>
      <c r="E33" s="39">
        <f t="shared" si="4"/>
        <v>9520</v>
      </c>
      <c r="F33" s="40">
        <f>$E33/$K36</f>
        <v>0.02761491949108808</v>
      </c>
      <c r="G33" s="39">
        <f t="shared" si="5"/>
        <v>-2340</v>
      </c>
      <c r="H33" s="48"/>
      <c r="I33" s="43" t="s">
        <v>51</v>
      </c>
      <c r="J33" s="43"/>
      <c r="K33" s="39">
        <f>-K38*M38</f>
        <v>0</v>
      </c>
      <c r="L33" s="47"/>
      <c r="M33" s="47"/>
      <c r="N33" s="46"/>
    </row>
    <row r="34" spans="1:14" ht="11.25">
      <c r="A34" s="36" t="s">
        <v>92</v>
      </c>
      <c r="B34" s="37">
        <v>2000</v>
      </c>
      <c r="C34" s="38">
        <v>14.94</v>
      </c>
      <c r="D34" s="39">
        <v>9.7</v>
      </c>
      <c r="E34" s="39">
        <f t="shared" si="4"/>
        <v>19400</v>
      </c>
      <c r="F34" s="40">
        <f>$E34/$K36</f>
        <v>0.056274100643603865</v>
      </c>
      <c r="G34" s="39">
        <f t="shared" si="5"/>
        <v>-10480</v>
      </c>
      <c r="H34" s="50"/>
      <c r="I34" s="43" t="s">
        <v>50</v>
      </c>
      <c r="J34" s="43"/>
      <c r="K34" s="39">
        <v>0</v>
      </c>
      <c r="L34" s="47"/>
      <c r="M34" s="47"/>
      <c r="N34" s="46"/>
    </row>
    <row r="35" spans="1:14" ht="11.25">
      <c r="A35" s="36" t="s">
        <v>91</v>
      </c>
      <c r="B35" s="37">
        <v>7000</v>
      </c>
      <c r="C35" s="38">
        <v>3.43</v>
      </c>
      <c r="D35" s="39">
        <v>2.52</v>
      </c>
      <c r="E35" s="39">
        <f t="shared" si="4"/>
        <v>17640</v>
      </c>
      <c r="F35" s="40">
        <f>$E35/$K36</f>
        <v>0.05116882140995733</v>
      </c>
      <c r="G35" s="39">
        <f t="shared" si="5"/>
        <v>-6370</v>
      </c>
      <c r="H35" s="48"/>
      <c r="I35" s="146" t="s">
        <v>22</v>
      </c>
      <c r="J35" s="146"/>
      <c r="K35" s="41">
        <f>SUM($K30:$K34)</f>
        <v>192381.1824999999</v>
      </c>
      <c r="L35" s="42">
        <f>$K35/$K36</f>
        <v>0.5580452590690989</v>
      </c>
      <c r="M35" s="45">
        <v>37972</v>
      </c>
      <c r="N35" s="46"/>
    </row>
    <row r="36" spans="1:14" ht="11.25">
      <c r="A36" s="36" t="s">
        <v>97</v>
      </c>
      <c r="B36" s="37">
        <v>1000</v>
      </c>
      <c r="C36" s="38">
        <v>18.2</v>
      </c>
      <c r="D36" s="39">
        <v>14.5</v>
      </c>
      <c r="E36" s="39">
        <f t="shared" si="4"/>
        <v>14500</v>
      </c>
      <c r="F36" s="40">
        <f>$E36/$K36</f>
        <v>0.04206053914083794</v>
      </c>
      <c r="G36" s="39">
        <f t="shared" si="5"/>
        <v>-3700</v>
      </c>
      <c r="H36" s="48"/>
      <c r="I36" s="147" t="s">
        <v>11</v>
      </c>
      <c r="J36" s="147"/>
      <c r="K36" s="58">
        <f>SUM($E41,$K35)</f>
        <v>344741.1824999999</v>
      </c>
      <c r="L36" s="44">
        <f>SUM($F41,$L35)</f>
        <v>1</v>
      </c>
      <c r="M36" s="51"/>
      <c r="N36" s="80"/>
    </row>
    <row r="37" spans="1:14" ht="11.25">
      <c r="A37" s="36" t="s">
        <v>101</v>
      </c>
      <c r="B37" s="37">
        <v>1300</v>
      </c>
      <c r="C37" s="38">
        <v>46.7</v>
      </c>
      <c r="D37" s="39">
        <v>41</v>
      </c>
      <c r="E37" s="39">
        <f t="shared" si="4"/>
        <v>53300</v>
      </c>
      <c r="F37" s="40">
        <f>$E37/$K36</f>
        <v>0.15460874042804568</v>
      </c>
      <c r="G37" s="39">
        <f t="shared" si="5"/>
        <v>-7410.000000000007</v>
      </c>
      <c r="H37" s="48"/>
      <c r="I37" s="71" t="s">
        <v>52</v>
      </c>
      <c r="J37" s="71"/>
      <c r="K37" s="37">
        <v>31647.90041358622</v>
      </c>
      <c r="L37" s="72"/>
      <c r="M37" s="73"/>
      <c r="N37" s="46"/>
    </row>
    <row r="38" spans="1:14" ht="11.25">
      <c r="A38" s="36" t="s">
        <v>108</v>
      </c>
      <c r="B38" s="37">
        <v>5000</v>
      </c>
      <c r="C38" s="38">
        <v>5.8</v>
      </c>
      <c r="D38" s="39">
        <v>4.74</v>
      </c>
      <c r="E38" s="39">
        <f t="shared" si="4"/>
        <v>23700</v>
      </c>
      <c r="F38" s="40">
        <f>$E38/$K36</f>
        <v>0.06874722604399029</v>
      </c>
      <c r="G38" s="39">
        <f t="shared" si="5"/>
        <v>-5300</v>
      </c>
      <c r="H38" s="48"/>
      <c r="I38" s="71" t="s">
        <v>53</v>
      </c>
      <c r="J38" s="71"/>
      <c r="K38" s="74">
        <v>0</v>
      </c>
      <c r="L38" s="75" t="s">
        <v>54</v>
      </c>
      <c r="M38" s="94">
        <v>0</v>
      </c>
      <c r="N38" s="46"/>
    </row>
    <row r="39" spans="1:14" ht="11.25">
      <c r="A39" s="36"/>
      <c r="B39" s="37"/>
      <c r="C39" s="38"/>
      <c r="D39" s="39"/>
      <c r="E39" s="39"/>
      <c r="F39" s="40"/>
      <c r="G39" s="39"/>
      <c r="H39" s="48"/>
      <c r="I39" s="71" t="s">
        <v>55</v>
      </c>
      <c r="J39" s="71"/>
      <c r="K39" s="74">
        <v>0</v>
      </c>
      <c r="L39" s="75" t="s">
        <v>54</v>
      </c>
      <c r="M39" s="94">
        <v>0</v>
      </c>
      <c r="N39" s="46"/>
    </row>
    <row r="40" spans="1:14" ht="11.25">
      <c r="A40" s="36"/>
      <c r="B40" s="37"/>
      <c r="C40" s="38"/>
      <c r="D40" s="39"/>
      <c r="E40" s="39"/>
      <c r="F40" s="40"/>
      <c r="G40" s="39"/>
      <c r="H40" s="48"/>
      <c r="I40" s="76" t="s">
        <v>56</v>
      </c>
      <c r="J40" s="77"/>
      <c r="K40" s="78">
        <f>$K37-$K38+$K39</f>
        <v>31647.90041358622</v>
      </c>
      <c r="L40" s="46"/>
      <c r="M40" s="46"/>
      <c r="N40" s="46"/>
    </row>
    <row r="41" spans="1:14" ht="11.25">
      <c r="A41" s="148" t="s">
        <v>16</v>
      </c>
      <c r="B41" s="148"/>
      <c r="C41" s="148"/>
      <c r="D41" s="41"/>
      <c r="E41" s="41">
        <f>SUM($E32:$E40)</f>
        <v>152360</v>
      </c>
      <c r="F41" s="42">
        <f>SUM($F32:$F40)</f>
        <v>0.44195474093090126</v>
      </c>
      <c r="G41" s="39">
        <f>SUM(G32:G40)</f>
        <v>-37800.00000000001</v>
      </c>
      <c r="H41" s="46"/>
      <c r="I41" s="149" t="s">
        <v>57</v>
      </c>
      <c r="J41" s="149"/>
      <c r="K41" s="79">
        <f>K36/K40</f>
        <v>10.893019062711817</v>
      </c>
      <c r="L41" s="46"/>
      <c r="M41" s="46"/>
      <c r="N41" s="46"/>
    </row>
    <row r="42" spans="1:14" ht="11.25">
      <c r="A42" s="52"/>
      <c r="B42" s="52"/>
      <c r="C42" s="52"/>
      <c r="D42" s="53"/>
      <c r="E42" s="48"/>
      <c r="F42" s="48"/>
      <c r="G42" s="48"/>
      <c r="H42" s="48"/>
      <c r="I42" s="70"/>
      <c r="J42" s="70"/>
      <c r="K42" s="70"/>
      <c r="L42" s="70"/>
      <c r="M42" s="46"/>
      <c r="N42" s="46"/>
    </row>
  </sheetData>
  <mergeCells count="24">
    <mergeCell ref="I35:J35"/>
    <mergeCell ref="I36:J36"/>
    <mergeCell ref="A41:C41"/>
    <mergeCell ref="I41:J41"/>
    <mergeCell ref="H29:I29"/>
    <mergeCell ref="A30:G30"/>
    <mergeCell ref="I30:J30"/>
    <mergeCell ref="I32:J32"/>
    <mergeCell ref="I7:J7"/>
    <mergeCell ref="I8:J8"/>
    <mergeCell ref="A13:C13"/>
    <mergeCell ref="I13:J13"/>
    <mergeCell ref="H1:I1"/>
    <mergeCell ref="A2:G2"/>
    <mergeCell ref="I2:J2"/>
    <mergeCell ref="I4:J4"/>
    <mergeCell ref="H15:I15"/>
    <mergeCell ref="A16:G16"/>
    <mergeCell ref="I16:J16"/>
    <mergeCell ref="I18:J18"/>
    <mergeCell ref="I21:J21"/>
    <mergeCell ref="I22:J22"/>
    <mergeCell ref="A27:C27"/>
    <mergeCell ref="I27:J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7"/>
  <sheetViews>
    <sheetView tabSelected="1" workbookViewId="0" topLeftCell="A16">
      <pane xSplit="10" ySplit="3" topLeftCell="K44" activePane="bottomRight" state="frozen"/>
      <selection pane="topLeft" activeCell="A16" sqref="A16"/>
      <selection pane="topRight" activeCell="K16" sqref="K16"/>
      <selection pane="bottomLeft" activeCell="A19" sqref="A19"/>
      <selection pane="bottomRight" activeCell="M67" sqref="M67"/>
    </sheetView>
  </sheetViews>
  <sheetFormatPr defaultColWidth="9.140625" defaultRowHeight="21.75"/>
  <cols>
    <col min="1" max="1" width="4.8515625" style="23" bestFit="1" customWidth="1"/>
    <col min="2" max="2" width="10.140625" style="54" customWidth="1"/>
    <col min="3" max="3" width="11.140625" style="5" customWidth="1"/>
    <col min="4" max="4" width="9.57421875" style="2" customWidth="1"/>
    <col min="5" max="5" width="7.7109375" style="27" bestFit="1" customWidth="1"/>
    <col min="6" max="6" width="8.57421875" style="34" customWidth="1"/>
    <col min="7" max="7" width="8.140625" style="5" bestFit="1" customWidth="1"/>
    <col min="8" max="8" width="6.8515625" style="15" customWidth="1"/>
    <col min="9" max="9" width="7.7109375" style="27" customWidth="1"/>
    <col min="10" max="10" width="7.57421875" style="34" customWidth="1"/>
    <col min="11" max="16384" width="9.140625" style="2" customWidth="1"/>
  </cols>
  <sheetData>
    <row r="1" spans="1:10" ht="12" thickBot="1">
      <c r="A1" s="153" t="s">
        <v>12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0" ht="12" thickBot="1">
      <c r="A2" s="18" t="s">
        <v>0</v>
      </c>
      <c r="B2" s="156" t="s">
        <v>11</v>
      </c>
      <c r="C2" s="157"/>
      <c r="D2" s="82" t="s">
        <v>13</v>
      </c>
      <c r="E2" s="19" t="s">
        <v>14</v>
      </c>
      <c r="F2" s="19" t="s">
        <v>60</v>
      </c>
      <c r="G2" s="20" t="s">
        <v>15</v>
      </c>
      <c r="H2" s="21" t="s">
        <v>13</v>
      </c>
      <c r="I2" s="22" t="s">
        <v>14</v>
      </c>
      <c r="J2" s="22" t="s">
        <v>60</v>
      </c>
    </row>
    <row r="3" spans="1:10" ht="11.25">
      <c r="A3" s="23" t="s">
        <v>29</v>
      </c>
      <c r="B3" s="158">
        <v>146329.332375</v>
      </c>
      <c r="C3" s="159"/>
      <c r="D3" s="24">
        <v>0</v>
      </c>
      <c r="E3" s="25">
        <v>0</v>
      </c>
      <c r="F3" s="26">
        <f aca="true" t="shared" si="0" ref="F3:F15">(B3-$B$3)/$B$3</f>
        <v>0</v>
      </c>
      <c r="G3" s="5">
        <v>575.55</v>
      </c>
      <c r="H3" s="15">
        <v>0</v>
      </c>
      <c r="I3" s="25">
        <v>0</v>
      </c>
      <c r="J3" s="26">
        <f aca="true" t="shared" si="1" ref="J3:J15">(G3-$G$3)/$G$3</f>
        <v>0</v>
      </c>
    </row>
    <row r="4" spans="1:10" ht="11.25">
      <c r="A4" s="23" t="s">
        <v>30</v>
      </c>
      <c r="B4" s="158">
        <v>146214.48125</v>
      </c>
      <c r="C4" s="159"/>
      <c r="D4" s="9">
        <f aca="true" t="shared" si="2" ref="D4:D15">$B4-$B3</f>
        <v>-114.8511249999865</v>
      </c>
      <c r="E4" s="27">
        <f aca="true" t="shared" si="3" ref="E4:E15">$D4/$B3</f>
        <v>-0.0007848810838940759</v>
      </c>
      <c r="F4" s="26">
        <f t="shared" si="0"/>
        <v>-0.0007848810838940759</v>
      </c>
      <c r="G4" s="5">
        <v>576.68</v>
      </c>
      <c r="H4" s="15">
        <f aca="true" t="shared" si="4" ref="H4:H15">$G4-$G3</f>
        <v>1.1299999999999955</v>
      </c>
      <c r="I4" s="27">
        <f aca="true" t="shared" si="5" ref="I4:I15">$H4/$G3</f>
        <v>0.001963339414473105</v>
      </c>
      <c r="J4" s="26">
        <f t="shared" si="1"/>
        <v>0.001963339414473105</v>
      </c>
    </row>
    <row r="5" spans="1:10" ht="11.25">
      <c r="A5" s="23" t="s">
        <v>33</v>
      </c>
      <c r="B5" s="158">
        <v>146113.2525</v>
      </c>
      <c r="C5" s="159"/>
      <c r="D5" s="9">
        <f t="shared" si="2"/>
        <v>-101.22875000000931</v>
      </c>
      <c r="E5" s="27">
        <f t="shared" si="3"/>
        <v>-0.0006923305348047344</v>
      </c>
      <c r="F5" s="26">
        <f t="shared" si="0"/>
        <v>-0.0014766682215582398</v>
      </c>
      <c r="G5" s="5">
        <v>580.87</v>
      </c>
      <c r="H5" s="15">
        <f t="shared" si="4"/>
        <v>4.190000000000055</v>
      </c>
      <c r="I5" s="27">
        <f t="shared" si="5"/>
        <v>0.007265727960047262</v>
      </c>
      <c r="J5" s="26">
        <f t="shared" si="1"/>
        <v>0.009243332464599166</v>
      </c>
    </row>
    <row r="6" spans="1:10" ht="11.25">
      <c r="A6" s="28" t="s">
        <v>35</v>
      </c>
      <c r="B6" s="160">
        <v>146113.2525</v>
      </c>
      <c r="C6" s="161"/>
      <c r="D6" s="9">
        <f t="shared" si="2"/>
        <v>0</v>
      </c>
      <c r="E6" s="27">
        <f t="shared" si="3"/>
        <v>0</v>
      </c>
      <c r="F6" s="26">
        <f t="shared" si="0"/>
        <v>-0.0014766682215582398</v>
      </c>
      <c r="G6" s="29">
        <v>580.93</v>
      </c>
      <c r="H6" s="15">
        <f t="shared" si="4"/>
        <v>0.05999999999994543</v>
      </c>
      <c r="I6" s="27">
        <f t="shared" si="5"/>
        <v>0.0001032933358581876</v>
      </c>
      <c r="J6" s="26">
        <f t="shared" si="1"/>
        <v>0.00934758057510207</v>
      </c>
    </row>
    <row r="7" spans="1:10" ht="11.25">
      <c r="A7" s="23" t="s">
        <v>39</v>
      </c>
      <c r="B7" s="158">
        <v>146733.76</v>
      </c>
      <c r="C7" s="159"/>
      <c r="D7" s="9">
        <f t="shared" si="2"/>
        <v>620.507500000007</v>
      </c>
      <c r="E7" s="27">
        <f t="shared" si="3"/>
        <v>0.004246757151614341</v>
      </c>
      <c r="F7" s="26">
        <f t="shared" si="0"/>
        <v>0.002763817878725637</v>
      </c>
      <c r="G7" s="5">
        <v>578.98</v>
      </c>
      <c r="H7" s="15">
        <f t="shared" si="4"/>
        <v>-1.9499999999999318</v>
      </c>
      <c r="I7" s="27">
        <f t="shared" si="5"/>
        <v>-0.0033566866920281824</v>
      </c>
      <c r="J7" s="26">
        <f t="shared" si="1"/>
        <v>0.0059595169837547805</v>
      </c>
    </row>
    <row r="8" spans="1:10" ht="11.25">
      <c r="A8" s="28" t="s">
        <v>42</v>
      </c>
      <c r="B8" s="160">
        <v>143776.76</v>
      </c>
      <c r="C8" s="161"/>
      <c r="D8" s="9">
        <f t="shared" si="2"/>
        <v>-2957</v>
      </c>
      <c r="E8" s="27">
        <f t="shared" si="3"/>
        <v>-0.020152144946057403</v>
      </c>
      <c r="F8" s="26">
        <f t="shared" si="0"/>
        <v>-0.017444023925828347</v>
      </c>
      <c r="G8" s="29">
        <v>569.75</v>
      </c>
      <c r="H8" s="15">
        <f t="shared" si="4"/>
        <v>-9.230000000000018</v>
      </c>
      <c r="I8" s="27">
        <f t="shared" si="5"/>
        <v>-0.015941828733289608</v>
      </c>
      <c r="J8" s="26">
        <f t="shared" si="1"/>
        <v>-0.010077317348622978</v>
      </c>
    </row>
    <row r="9" spans="1:10" ht="11.25">
      <c r="A9" s="28" t="s">
        <v>43</v>
      </c>
      <c r="B9" s="160">
        <v>146302.884375</v>
      </c>
      <c r="C9" s="161"/>
      <c r="D9" s="9">
        <f t="shared" si="2"/>
        <v>2526.124374999985</v>
      </c>
      <c r="E9" s="27">
        <f t="shared" si="3"/>
        <v>0.017569768403460927</v>
      </c>
      <c r="F9" s="26">
        <f t="shared" si="0"/>
        <v>-0.0001807429827686587</v>
      </c>
      <c r="G9" s="29">
        <v>567.02</v>
      </c>
      <c r="H9" s="15">
        <f t="shared" si="4"/>
        <v>-2.730000000000018</v>
      </c>
      <c r="I9" s="27">
        <f t="shared" si="5"/>
        <v>-0.004791575252303674</v>
      </c>
      <c r="J9" s="26">
        <f t="shared" si="1"/>
        <v>-0.01482060637650938</v>
      </c>
    </row>
    <row r="10" spans="1:10" ht="11.25">
      <c r="A10" s="28" t="s">
        <v>44</v>
      </c>
      <c r="B10" s="160">
        <v>144597.4</v>
      </c>
      <c r="C10" s="161"/>
      <c r="D10" s="9">
        <f t="shared" si="2"/>
        <v>-1705.484375</v>
      </c>
      <c r="E10" s="27">
        <f t="shared" si="3"/>
        <v>-0.011657216344611115</v>
      </c>
      <c r="F10" s="26">
        <f t="shared" si="0"/>
        <v>-0.01183585236732687</v>
      </c>
      <c r="G10" s="29">
        <v>558.34</v>
      </c>
      <c r="H10" s="15">
        <f t="shared" si="4"/>
        <v>-8.67999999999995</v>
      </c>
      <c r="I10" s="27">
        <f t="shared" si="5"/>
        <v>-0.015308102006983793</v>
      </c>
      <c r="J10" s="26">
        <f t="shared" si="1"/>
        <v>-0.029901833029276213</v>
      </c>
    </row>
    <row r="11" spans="1:10" ht="11.25">
      <c r="A11" s="23" t="s">
        <v>45</v>
      </c>
      <c r="B11" s="158">
        <v>141597.4</v>
      </c>
      <c r="C11" s="159"/>
      <c r="D11" s="9">
        <f t="shared" si="2"/>
        <v>-3000</v>
      </c>
      <c r="E11" s="27">
        <f t="shared" si="3"/>
        <v>-0.020747261015758238</v>
      </c>
      <c r="F11" s="26">
        <f t="shared" si="0"/>
        <v>-0.0323375518646762</v>
      </c>
      <c r="G11" s="5">
        <v>544.36</v>
      </c>
      <c r="H11" s="15">
        <f t="shared" si="4"/>
        <v>-13.980000000000018</v>
      </c>
      <c r="I11" s="27">
        <f t="shared" si="5"/>
        <v>-0.02503850700290149</v>
      </c>
      <c r="J11" s="26">
        <f t="shared" si="1"/>
        <v>-0.05419164277647458</v>
      </c>
    </row>
    <row r="12" spans="1:10" ht="11.25">
      <c r="A12" s="28" t="s">
        <v>46</v>
      </c>
      <c r="B12" s="160">
        <v>139858.3</v>
      </c>
      <c r="C12" s="161"/>
      <c r="D12" s="9">
        <f t="shared" si="2"/>
        <v>-1739.1000000000058</v>
      </c>
      <c r="E12" s="27">
        <f t="shared" si="3"/>
        <v>-0.01228200517806122</v>
      </c>
      <c r="F12" s="26">
        <f t="shared" si="0"/>
        <v>-0.04422238706328964</v>
      </c>
      <c r="G12" s="29">
        <v>544.39</v>
      </c>
      <c r="H12" s="15">
        <f t="shared" si="4"/>
        <v>0.029999999999972715</v>
      </c>
      <c r="I12" s="27">
        <f t="shared" si="5"/>
        <v>5.511058858103592E-05</v>
      </c>
      <c r="J12" s="26">
        <f t="shared" si="1"/>
        <v>-0.05413951872122313</v>
      </c>
    </row>
    <row r="13" spans="1:10" ht="11.25">
      <c r="A13" s="28" t="s">
        <v>47</v>
      </c>
      <c r="B13" s="160">
        <v>145408.3</v>
      </c>
      <c r="C13" s="161"/>
      <c r="D13" s="9">
        <f t="shared" si="2"/>
        <v>5550</v>
      </c>
      <c r="E13" s="27">
        <f t="shared" si="3"/>
        <v>0.03968302203015481</v>
      </c>
      <c r="F13" s="26">
        <f t="shared" si="0"/>
        <v>-0.006294242993193385</v>
      </c>
      <c r="G13" s="29">
        <v>560.74</v>
      </c>
      <c r="H13" s="15">
        <f t="shared" si="4"/>
        <v>16.350000000000023</v>
      </c>
      <c r="I13" s="27">
        <f t="shared" si="5"/>
        <v>0.030033615606458647</v>
      </c>
      <c r="J13" s="26">
        <f t="shared" si="1"/>
        <v>-0.025731908609156365</v>
      </c>
    </row>
    <row r="14" spans="1:10" ht="11.25">
      <c r="A14" s="28" t="s">
        <v>48</v>
      </c>
      <c r="B14" s="160">
        <v>150334.44</v>
      </c>
      <c r="C14" s="161"/>
      <c r="D14" s="9">
        <f t="shared" si="2"/>
        <v>4926.140000000014</v>
      </c>
      <c r="E14" s="27">
        <f t="shared" si="3"/>
        <v>0.033877983581405015</v>
      </c>
      <c r="F14" s="26">
        <f t="shared" si="0"/>
        <v>0.027370504327430847</v>
      </c>
      <c r="G14" s="29">
        <v>573.63</v>
      </c>
      <c r="H14" s="15">
        <f t="shared" si="4"/>
        <v>12.889999999999986</v>
      </c>
      <c r="I14" s="27">
        <f t="shared" si="5"/>
        <v>0.022987480828904637</v>
      </c>
      <c r="J14" s="26">
        <f t="shared" si="1"/>
        <v>-0.0033359395360958374</v>
      </c>
    </row>
    <row r="15" spans="1:10" ht="11.25">
      <c r="A15" s="83" t="s">
        <v>49</v>
      </c>
      <c r="B15" s="162">
        <v>149234.44</v>
      </c>
      <c r="C15" s="163"/>
      <c r="D15" s="84">
        <f t="shared" si="2"/>
        <v>-1100</v>
      </c>
      <c r="E15" s="85">
        <f t="shared" si="3"/>
        <v>-0.007317019307086254</v>
      </c>
      <c r="F15" s="86">
        <f t="shared" si="0"/>
        <v>0.019853214511736095</v>
      </c>
      <c r="G15" s="87">
        <v>582.15</v>
      </c>
      <c r="H15" s="88">
        <f t="shared" si="4"/>
        <v>8.519999999999982</v>
      </c>
      <c r="I15" s="85">
        <f t="shared" si="5"/>
        <v>0.01485277966633541</v>
      </c>
      <c r="J15" s="86">
        <f t="shared" si="1"/>
        <v>0.011467292155329725</v>
      </c>
    </row>
    <row r="16" spans="1:10" ht="12" thickBot="1">
      <c r="A16" s="81"/>
      <c r="F16" s="27"/>
      <c r="J16" s="27"/>
    </row>
    <row r="17" spans="1:10" ht="12" thickBot="1">
      <c r="A17" s="153" t="s">
        <v>12</v>
      </c>
      <c r="B17" s="154"/>
      <c r="C17" s="154"/>
      <c r="D17" s="154"/>
      <c r="E17" s="154"/>
      <c r="F17" s="154"/>
      <c r="G17" s="154"/>
      <c r="H17" s="154"/>
      <c r="I17" s="154"/>
      <c r="J17" s="155"/>
    </row>
    <row r="18" spans="1:10" ht="12" thickBot="1">
      <c r="A18" s="18" t="s">
        <v>0</v>
      </c>
      <c r="B18" s="90" t="s">
        <v>11</v>
      </c>
      <c r="C18" s="105" t="s">
        <v>13</v>
      </c>
      <c r="D18" s="92" t="s">
        <v>57</v>
      </c>
      <c r="E18" s="19" t="s">
        <v>14</v>
      </c>
      <c r="F18" s="19" t="s">
        <v>60</v>
      </c>
      <c r="G18" s="20" t="s">
        <v>15</v>
      </c>
      <c r="H18" s="21" t="s">
        <v>13</v>
      </c>
      <c r="I18" s="22" t="s">
        <v>14</v>
      </c>
      <c r="J18" s="22" t="s">
        <v>60</v>
      </c>
    </row>
    <row r="19" spans="1:10" ht="11.25">
      <c r="A19" s="23" t="s">
        <v>49</v>
      </c>
      <c r="B19" s="54">
        <v>149234.44</v>
      </c>
      <c r="C19" s="5">
        <v>0</v>
      </c>
      <c r="D19" s="91">
        <v>10</v>
      </c>
      <c r="E19" s="25">
        <v>0</v>
      </c>
      <c r="F19" s="26">
        <f>(B19-$B$19)/$B$19</f>
        <v>0</v>
      </c>
      <c r="G19" s="5">
        <v>582.15</v>
      </c>
      <c r="H19" s="15">
        <v>0</v>
      </c>
      <c r="I19" s="25">
        <v>0</v>
      </c>
      <c r="J19" s="26">
        <f aca="true" t="shared" si="6" ref="J19:J24">(G19-$G$19)/$G$19</f>
        <v>0</v>
      </c>
    </row>
    <row r="20" spans="1:10" ht="11.25">
      <c r="A20" s="23" t="s">
        <v>62</v>
      </c>
      <c r="B20" s="54">
        <v>148027.44</v>
      </c>
      <c r="C20" s="5">
        <f>B20-B19</f>
        <v>-1207</v>
      </c>
      <c r="D20" s="91">
        <v>9.919120546168834</v>
      </c>
      <c r="E20" s="25">
        <f>(D20-D19)/D19</f>
        <v>-0.00808794538311659</v>
      </c>
      <c r="F20" s="26">
        <f aca="true" t="shared" si="7" ref="F20:F40">(D20-$D$19)/$D$19</f>
        <v>-0.00808794538311659</v>
      </c>
      <c r="G20" s="5">
        <v>578.59</v>
      </c>
      <c r="H20" s="24">
        <f aca="true" t="shared" si="8" ref="H20:H26">G20-G19</f>
        <v>-3.5599999999999454</v>
      </c>
      <c r="I20" s="25">
        <f aca="true" t="shared" si="9" ref="I20:I25">H20/G19</f>
        <v>-0.006115262389418441</v>
      </c>
      <c r="J20" s="26">
        <f t="shared" si="6"/>
        <v>-0.006115262389418441</v>
      </c>
    </row>
    <row r="21" spans="1:10" ht="11.25">
      <c r="A21" s="23" t="s">
        <v>63</v>
      </c>
      <c r="B21" s="54">
        <v>147227.44</v>
      </c>
      <c r="C21" s="5">
        <f aca="true" t="shared" si="10" ref="C21:C60">B21-B20</f>
        <v>-800</v>
      </c>
      <c r="D21" s="91">
        <v>9.865513617366073</v>
      </c>
      <c r="E21" s="25">
        <f aca="true" t="shared" si="11" ref="E21:E40">(D21-D20)/D20</f>
        <v>-0.005404403399802048</v>
      </c>
      <c r="F21" s="26">
        <f t="shared" si="7"/>
        <v>-0.01344863826339271</v>
      </c>
      <c r="G21" s="5">
        <v>568.47</v>
      </c>
      <c r="H21" s="24">
        <f t="shared" si="8"/>
        <v>-10.120000000000005</v>
      </c>
      <c r="I21" s="25">
        <f t="shared" si="9"/>
        <v>-0.017490796591714347</v>
      </c>
      <c r="J21" s="26">
        <f t="shared" si="6"/>
        <v>-0.02349909817057451</v>
      </c>
    </row>
    <row r="22" spans="1:10" s="30" customFormat="1" ht="11.25">
      <c r="A22" s="28" t="s">
        <v>64</v>
      </c>
      <c r="B22" s="55">
        <v>255227.44</v>
      </c>
      <c r="C22" s="5">
        <f t="shared" si="10"/>
        <v>108000</v>
      </c>
      <c r="D22" s="93">
        <v>10.401582905393694</v>
      </c>
      <c r="E22" s="25">
        <f t="shared" si="11"/>
        <v>0.05433769683151502</v>
      </c>
      <c r="F22" s="26">
        <f t="shared" si="7"/>
        <v>0.04015829053936937</v>
      </c>
      <c r="G22" s="29">
        <v>576.1</v>
      </c>
      <c r="H22" s="24">
        <f t="shared" si="8"/>
        <v>7.6299999999999955</v>
      </c>
      <c r="I22" s="25">
        <f t="shared" si="9"/>
        <v>0.013421992365472224</v>
      </c>
      <c r="J22" s="26">
        <f t="shared" si="6"/>
        <v>-0.01039251052134322</v>
      </c>
    </row>
    <row r="23" spans="1:10" ht="11.25">
      <c r="A23" s="23" t="s">
        <v>72</v>
      </c>
      <c r="B23" s="54">
        <v>255067.89</v>
      </c>
      <c r="C23" s="5">
        <f t="shared" si="10"/>
        <v>-159.54999999998836</v>
      </c>
      <c r="D23" s="91">
        <v>10.395080577303277</v>
      </c>
      <c r="E23" s="25">
        <f t="shared" si="11"/>
        <v>-0.000625128708731884</v>
      </c>
      <c r="F23" s="26">
        <f t="shared" si="7"/>
        <v>0.03950805773032773</v>
      </c>
      <c r="G23" s="5">
        <v>583.61</v>
      </c>
      <c r="H23" s="24">
        <f t="shared" si="8"/>
        <v>7.509999999999991</v>
      </c>
      <c r="I23" s="25">
        <f t="shared" si="9"/>
        <v>0.013035931261933675</v>
      </c>
      <c r="J23" s="26">
        <f t="shared" si="6"/>
        <v>0.0025079446877953044</v>
      </c>
    </row>
    <row r="24" spans="1:10" ht="11.25">
      <c r="A24" s="28" t="s">
        <v>74</v>
      </c>
      <c r="B24" s="55">
        <v>255037.08</v>
      </c>
      <c r="C24" s="5">
        <f t="shared" si="10"/>
        <v>-30.810000000026776</v>
      </c>
      <c r="D24" s="93">
        <v>10.393824941274035</v>
      </c>
      <c r="E24" s="25">
        <f t="shared" si="11"/>
        <v>-0.00012079137048574082</v>
      </c>
      <c r="F24" s="26">
        <f t="shared" si="7"/>
        <v>0.03938249412740351</v>
      </c>
      <c r="G24" s="29">
        <v>588.6</v>
      </c>
      <c r="H24" s="24">
        <f t="shared" si="8"/>
        <v>4.990000000000009</v>
      </c>
      <c r="I24" s="25">
        <f t="shared" si="9"/>
        <v>0.008550230462123694</v>
      </c>
      <c r="J24" s="26">
        <f t="shared" si="6"/>
        <v>0.011079618654985907</v>
      </c>
    </row>
    <row r="25" spans="1:10" ht="11.25">
      <c r="A25" s="28" t="s">
        <v>77</v>
      </c>
      <c r="B25" s="55">
        <v>253755.08</v>
      </c>
      <c r="C25" s="5">
        <f t="shared" si="10"/>
        <v>-1282</v>
      </c>
      <c r="D25" s="93">
        <v>10.341578093189382</v>
      </c>
      <c r="E25" s="25">
        <f t="shared" si="11"/>
        <v>-0.005026720036161124</v>
      </c>
      <c r="F25" s="26">
        <f t="shared" si="7"/>
        <v>0.03415780931893817</v>
      </c>
      <c r="G25" s="29">
        <v>592.78</v>
      </c>
      <c r="H25" s="24">
        <f t="shared" si="8"/>
        <v>4.17999999999995</v>
      </c>
      <c r="I25" s="25">
        <f t="shared" si="9"/>
        <v>0.0071015970098538056</v>
      </c>
      <c r="J25" s="26">
        <f aca="true" t="shared" si="12" ref="J25:J30">(G25-$G$19)/$G$19</f>
        <v>0.01825989865155028</v>
      </c>
    </row>
    <row r="26" spans="1:10" ht="11.25">
      <c r="A26" s="28" t="s">
        <v>80</v>
      </c>
      <c r="B26" s="55">
        <v>253383.98</v>
      </c>
      <c r="C26" s="5">
        <f t="shared" si="10"/>
        <v>-371.0999999999767</v>
      </c>
      <c r="D26" s="93">
        <v>10.326454220081569</v>
      </c>
      <c r="E26" s="25">
        <f t="shared" si="11"/>
        <v>-0.0014624337766953373</v>
      </c>
      <c r="F26" s="26">
        <f t="shared" si="7"/>
        <v>0.0326454220081569</v>
      </c>
      <c r="G26" s="29">
        <v>593.02</v>
      </c>
      <c r="H26" s="24">
        <f t="shared" si="8"/>
        <v>0.2400000000000091</v>
      </c>
      <c r="I26" s="25">
        <f aca="true" t="shared" si="13" ref="I26:I31">H26/G25</f>
        <v>0.0004048719592429048</v>
      </c>
      <c r="J26" s="26">
        <f t="shared" si="12"/>
        <v>0.018672163531735817</v>
      </c>
    </row>
    <row r="27" spans="1:10" ht="11.25">
      <c r="A27" s="23" t="s">
        <v>82</v>
      </c>
      <c r="B27" s="54">
        <v>259084.06</v>
      </c>
      <c r="C27" s="5">
        <f t="shared" si="10"/>
        <v>5700.079999999987</v>
      </c>
      <c r="D27" s="91">
        <v>10.5587562589508</v>
      </c>
      <c r="E27" s="25">
        <f t="shared" si="11"/>
        <v>0.022495818401778122</v>
      </c>
      <c r="F27" s="26">
        <f t="shared" si="7"/>
        <v>0.055875625895079925</v>
      </c>
      <c r="G27" s="5">
        <v>604.77</v>
      </c>
      <c r="H27" s="24">
        <f aca="true" t="shared" si="14" ref="H27:H32">G27-G26</f>
        <v>11.75</v>
      </c>
      <c r="I27" s="25">
        <f t="shared" si="13"/>
        <v>0.0198138342720313</v>
      </c>
      <c r="J27" s="26">
        <f t="shared" si="12"/>
        <v>0.038855964957485195</v>
      </c>
    </row>
    <row r="28" spans="1:10" ht="11.25">
      <c r="A28" s="28" t="s">
        <v>83</v>
      </c>
      <c r="B28" s="55">
        <v>265860.56</v>
      </c>
      <c r="C28" s="5">
        <f t="shared" si="10"/>
        <v>6776.5</v>
      </c>
      <c r="D28" s="93">
        <v>10.834926903292187</v>
      </c>
      <c r="E28" s="25">
        <f t="shared" si="11"/>
        <v>0.026155603706381068</v>
      </c>
      <c r="F28" s="26">
        <f t="shared" si="7"/>
        <v>0.08349269032921872</v>
      </c>
      <c r="G28" s="29">
        <v>609.25</v>
      </c>
      <c r="H28" s="24">
        <f t="shared" si="14"/>
        <v>4.480000000000018</v>
      </c>
      <c r="I28" s="25">
        <f t="shared" si="13"/>
        <v>0.007407774856557068</v>
      </c>
      <c r="J28" s="26">
        <f t="shared" si="12"/>
        <v>0.04655157605428158</v>
      </c>
    </row>
    <row r="29" spans="1:10" s="30" customFormat="1" ht="11.25">
      <c r="A29" s="28" t="s">
        <v>84</v>
      </c>
      <c r="B29" s="55">
        <v>268803.56</v>
      </c>
      <c r="C29" s="5">
        <f t="shared" si="10"/>
        <v>2943</v>
      </c>
      <c r="D29" s="93">
        <v>10.95486643052552</v>
      </c>
      <c r="E29" s="25">
        <f t="shared" si="11"/>
        <v>0.011069712634322382</v>
      </c>
      <c r="F29" s="26">
        <f t="shared" si="7"/>
        <v>0.09548664305255201</v>
      </c>
      <c r="G29" s="29">
        <v>615.68</v>
      </c>
      <c r="H29" s="24">
        <f t="shared" si="14"/>
        <v>6.42999999999995</v>
      </c>
      <c r="I29" s="25">
        <f t="shared" si="13"/>
        <v>0.010553959786622815</v>
      </c>
      <c r="J29" s="26">
        <f t="shared" si="12"/>
        <v>0.0575968393025852</v>
      </c>
    </row>
    <row r="30" spans="1:10" s="30" customFormat="1" ht="11.25">
      <c r="A30" s="28" t="s">
        <v>85</v>
      </c>
      <c r="B30" s="55">
        <v>270286.56</v>
      </c>
      <c r="C30" s="5">
        <f t="shared" si="10"/>
        <v>1483</v>
      </c>
      <c r="D30" s="93">
        <v>11.015304867116424</v>
      </c>
      <c r="E30" s="25">
        <f t="shared" si="11"/>
        <v>0.005517040027297175</v>
      </c>
      <c r="F30" s="26">
        <f t="shared" si="7"/>
        <v>0.10153048671164236</v>
      </c>
      <c r="G30" s="29">
        <v>615.39</v>
      </c>
      <c r="H30" s="24">
        <f t="shared" si="14"/>
        <v>-0.2899999999999636</v>
      </c>
      <c r="I30" s="25">
        <f t="shared" si="13"/>
        <v>-0.00047102390852384946</v>
      </c>
      <c r="J30" s="26">
        <f t="shared" si="12"/>
        <v>0.057098685905694425</v>
      </c>
    </row>
    <row r="31" spans="1:10" s="30" customFormat="1" ht="11.25">
      <c r="A31" s="28" t="s">
        <v>86</v>
      </c>
      <c r="B31" s="55">
        <v>275980.71</v>
      </c>
      <c r="C31" s="5">
        <f t="shared" si="10"/>
        <v>5694.150000000023</v>
      </c>
      <c r="D31" s="93">
        <v>11.247365233747642</v>
      </c>
      <c r="E31" s="25">
        <f t="shared" si="11"/>
        <v>0.02106708524463808</v>
      </c>
      <c r="F31" s="26">
        <f t="shared" si="7"/>
        <v>0.1247365233747642</v>
      </c>
      <c r="G31" s="29">
        <v>624.06</v>
      </c>
      <c r="H31" s="24">
        <f t="shared" si="14"/>
        <v>8.669999999999959</v>
      </c>
      <c r="I31" s="25">
        <f t="shared" si="13"/>
        <v>0.014088626724516095</v>
      </c>
      <c r="J31" s="26">
        <f aca="true" t="shared" si="15" ref="J31:J36">(G31-$G$19)/$G$19</f>
        <v>0.07199175470239624</v>
      </c>
    </row>
    <row r="32" spans="1:10" s="30" customFormat="1" ht="11.25">
      <c r="A32" s="28" t="s">
        <v>89</v>
      </c>
      <c r="B32" s="55">
        <v>277918.74</v>
      </c>
      <c r="C32" s="5">
        <f t="shared" si="10"/>
        <v>1938.0299999999697</v>
      </c>
      <c r="D32" s="93">
        <v>11.326348041074864</v>
      </c>
      <c r="E32" s="25">
        <f t="shared" si="11"/>
        <v>0.007022338626493116</v>
      </c>
      <c r="F32" s="26">
        <f t="shared" si="7"/>
        <v>0.13263480410748638</v>
      </c>
      <c r="G32" s="29">
        <v>624.37</v>
      </c>
      <c r="H32" s="24">
        <f t="shared" si="14"/>
        <v>0.3100000000000591</v>
      </c>
      <c r="I32" s="25">
        <f aca="true" t="shared" si="16" ref="I32:I37">H32/G31</f>
        <v>0.0004967471076500002</v>
      </c>
      <c r="J32" s="26">
        <f t="shared" si="15"/>
        <v>0.0725242635059693</v>
      </c>
    </row>
    <row r="33" spans="1:10" ht="11.25">
      <c r="A33" s="23" t="s">
        <v>90</v>
      </c>
      <c r="B33" s="54">
        <v>282642.57</v>
      </c>
      <c r="C33" s="5">
        <f t="shared" si="10"/>
        <v>4723.830000000016</v>
      </c>
      <c r="D33" s="91">
        <v>11.51886381984844</v>
      </c>
      <c r="E33" s="25">
        <f t="shared" si="11"/>
        <v>0.01699716255190283</v>
      </c>
      <c r="F33" s="26">
        <f t="shared" si="7"/>
        <v>0.15188638198484394</v>
      </c>
      <c r="G33" s="5">
        <v>639.45</v>
      </c>
      <c r="H33" s="24">
        <f aca="true" t="shared" si="17" ref="H33:H39">G33-G32</f>
        <v>15.080000000000041</v>
      </c>
      <c r="I33" s="25">
        <f t="shared" si="16"/>
        <v>0.02415234556432891</v>
      </c>
      <c r="J33" s="26">
        <f t="shared" si="15"/>
        <v>0.09842824014429283</v>
      </c>
    </row>
    <row r="34" spans="1:10" ht="11.25">
      <c r="A34" s="23" t="s">
        <v>93</v>
      </c>
      <c r="B34" s="54">
        <v>311049</v>
      </c>
      <c r="C34" s="5">
        <f t="shared" si="10"/>
        <v>28406.429999999993</v>
      </c>
      <c r="D34" s="91">
        <v>11.460151035414135</v>
      </c>
      <c r="E34" s="25">
        <f t="shared" si="11"/>
        <v>-0.005097098581297107</v>
      </c>
      <c r="F34" s="26">
        <f t="shared" si="7"/>
        <v>0.14601510354141353</v>
      </c>
      <c r="G34" s="5">
        <v>659.96</v>
      </c>
      <c r="H34" s="24">
        <f t="shared" si="17"/>
        <v>20.50999999999999</v>
      </c>
      <c r="I34" s="25">
        <f t="shared" si="16"/>
        <v>0.03207443897099068</v>
      </c>
      <c r="J34" s="26">
        <f t="shared" si="15"/>
        <v>0.13365970969681365</v>
      </c>
    </row>
    <row r="35" spans="1:10" s="30" customFormat="1" ht="11.25">
      <c r="A35" s="28" t="s">
        <v>94</v>
      </c>
      <c r="B35" s="55">
        <v>309477.4424999999</v>
      </c>
      <c r="C35" s="5">
        <f t="shared" si="10"/>
        <v>-1571.5575000001118</v>
      </c>
      <c r="D35" s="93">
        <v>11.40224926974108</v>
      </c>
      <c r="E35" s="25">
        <f t="shared" si="11"/>
        <v>-0.00505244350568566</v>
      </c>
      <c r="F35" s="26">
        <f t="shared" si="7"/>
        <v>0.14022492697410804</v>
      </c>
      <c r="G35" s="29">
        <v>665.06</v>
      </c>
      <c r="H35" s="24">
        <f t="shared" si="17"/>
        <v>5.099999999999909</v>
      </c>
      <c r="I35" s="25">
        <f t="shared" si="16"/>
        <v>0.007727741075216542</v>
      </c>
      <c r="J35" s="26">
        <f t="shared" si="15"/>
        <v>0.14242033840075577</v>
      </c>
    </row>
    <row r="36" spans="1:10" ht="11.25">
      <c r="A36" s="23" t="s">
        <v>95</v>
      </c>
      <c r="B36" s="54">
        <v>313625.3424999999</v>
      </c>
      <c r="C36" s="5">
        <f t="shared" si="10"/>
        <v>4147.900000000023</v>
      </c>
      <c r="D36" s="91">
        <v>11.555072652808683</v>
      </c>
      <c r="E36" s="25">
        <f t="shared" si="11"/>
        <v>0.013402915464509267</v>
      </c>
      <c r="F36" s="26">
        <f t="shared" si="7"/>
        <v>0.15550726528086828</v>
      </c>
      <c r="G36" s="5">
        <v>673.7</v>
      </c>
      <c r="H36" s="24">
        <f t="shared" si="17"/>
        <v>8.6400000000001</v>
      </c>
      <c r="I36" s="25">
        <f t="shared" si="16"/>
        <v>0.012991309054822273</v>
      </c>
      <c r="J36" s="26">
        <f t="shared" si="15"/>
        <v>0.15726187408743464</v>
      </c>
    </row>
    <row r="37" spans="1:10" s="30" customFormat="1" ht="11.25">
      <c r="A37" s="28" t="s">
        <v>96</v>
      </c>
      <c r="B37" s="55">
        <v>308173.16249999986</v>
      </c>
      <c r="C37" s="5">
        <f t="shared" si="10"/>
        <v>-5452.180000000051</v>
      </c>
      <c r="D37" s="93">
        <v>11.354194957422218</v>
      </c>
      <c r="E37" s="25">
        <f t="shared" si="11"/>
        <v>-0.017384373203195556</v>
      </c>
      <c r="F37" s="26">
        <f t="shared" si="7"/>
        <v>0.13541949574222176</v>
      </c>
      <c r="G37" s="29">
        <v>667.54</v>
      </c>
      <c r="H37" s="24">
        <f t="shared" si="17"/>
        <v>-6.160000000000082</v>
      </c>
      <c r="I37" s="25">
        <f t="shared" si="16"/>
        <v>-0.00914353569838219</v>
      </c>
      <c r="J37" s="26">
        <f aca="true" t="shared" si="18" ref="J37:J43">(G37-$G$19)/$G$19</f>
        <v>0.1466804088293395</v>
      </c>
    </row>
    <row r="38" spans="1:10" ht="11.25">
      <c r="A38" s="23" t="s">
        <v>98</v>
      </c>
      <c r="B38" s="54">
        <v>338081.2424999999</v>
      </c>
      <c r="C38" s="5">
        <f t="shared" si="10"/>
        <v>29908.080000000016</v>
      </c>
      <c r="D38" s="91">
        <v>11.351108734988802</v>
      </c>
      <c r="E38" s="25">
        <f t="shared" si="11"/>
        <v>-0.0002718134086114074</v>
      </c>
      <c r="F38" s="26">
        <f t="shared" si="7"/>
        <v>0.13511087349888024</v>
      </c>
      <c r="G38" s="5">
        <v>671</v>
      </c>
      <c r="H38" s="24">
        <f t="shared" si="17"/>
        <v>3.4600000000000364</v>
      </c>
      <c r="I38" s="25">
        <f aca="true" t="shared" si="19" ref="I38:I43">H38/G37</f>
        <v>0.005183209994906727</v>
      </c>
      <c r="J38" s="26">
        <f t="shared" si="18"/>
        <v>0.15262389418534747</v>
      </c>
    </row>
    <row r="39" spans="1:10" ht="11.25">
      <c r="A39" s="23" t="s">
        <v>99</v>
      </c>
      <c r="B39" s="54">
        <v>342625.7524999999</v>
      </c>
      <c r="C39" s="5">
        <f t="shared" si="10"/>
        <v>4544.510000000009</v>
      </c>
      <c r="D39" s="91">
        <v>11.503691075185461</v>
      </c>
      <c r="E39" s="25">
        <f t="shared" si="11"/>
        <v>0.01344206489066018</v>
      </c>
      <c r="F39" s="26">
        <f t="shared" si="7"/>
        <v>0.15036910751854612</v>
      </c>
      <c r="G39" s="5">
        <v>664.36</v>
      </c>
      <c r="H39" s="24">
        <f t="shared" si="17"/>
        <v>-6.639999999999986</v>
      </c>
      <c r="I39" s="25">
        <f t="shared" si="19"/>
        <v>-0.009895678092399383</v>
      </c>
      <c r="J39" s="26">
        <f t="shared" si="18"/>
        <v>0.14121789916688146</v>
      </c>
    </row>
    <row r="40" spans="1:10" ht="11.25">
      <c r="A40" s="23" t="s">
        <v>100</v>
      </c>
      <c r="B40" s="54">
        <v>336294.15249999985</v>
      </c>
      <c r="C40" s="5">
        <f t="shared" si="10"/>
        <v>-6331.600000000035</v>
      </c>
      <c r="D40" s="91">
        <v>11.291107024278066</v>
      </c>
      <c r="E40" s="25">
        <f t="shared" si="11"/>
        <v>-0.018479638362851988</v>
      </c>
      <c r="F40" s="26">
        <f t="shared" si="7"/>
        <v>0.1291107024278066</v>
      </c>
      <c r="G40" s="5">
        <v>647.55</v>
      </c>
      <c r="H40" s="24">
        <f aca="true" t="shared" si="20" ref="H40:H45">G40-G39</f>
        <v>-16.81000000000006</v>
      </c>
      <c r="I40" s="25">
        <f t="shared" si="19"/>
        <v>-0.025302546811969504</v>
      </c>
      <c r="J40" s="26">
        <f t="shared" si="18"/>
        <v>0.11234217985055395</v>
      </c>
    </row>
    <row r="41" spans="1:10" ht="11.25">
      <c r="A41" s="23" t="s">
        <v>102</v>
      </c>
      <c r="B41" s="54">
        <v>346556.0024999999</v>
      </c>
      <c r="C41" s="5">
        <f t="shared" si="10"/>
        <v>10261.850000000035</v>
      </c>
      <c r="D41" s="106">
        <v>11.635649579525404</v>
      </c>
      <c r="E41" s="25">
        <f aca="true" t="shared" si="21" ref="E41:E47">(D41-D40)/D40</f>
        <v>0.0305145061955843</v>
      </c>
      <c r="F41" s="26">
        <f aca="true" t="shared" si="22" ref="F41:F46">(D41-$D$19)/$D$19</f>
        <v>0.16356495795254045</v>
      </c>
      <c r="G41" s="5">
        <v>653.49</v>
      </c>
      <c r="H41" s="24">
        <f t="shared" si="20"/>
        <v>5.940000000000055</v>
      </c>
      <c r="I41" s="25">
        <f t="shared" si="19"/>
        <v>0.009173036831132816</v>
      </c>
      <c r="J41" s="26">
        <f t="shared" si="18"/>
        <v>0.12254573563514565</v>
      </c>
    </row>
    <row r="42" spans="1:10" ht="11.25">
      <c r="A42" s="23" t="s">
        <v>104</v>
      </c>
      <c r="B42" s="54">
        <v>343033.09249999985</v>
      </c>
      <c r="C42" s="5">
        <f t="shared" si="10"/>
        <v>-3522.9100000000326</v>
      </c>
      <c r="D42" s="106">
        <v>11.517367553057818</v>
      </c>
      <c r="E42" s="25">
        <f t="shared" si="21"/>
        <v>-0.01016548544704546</v>
      </c>
      <c r="F42" s="26">
        <f t="shared" si="22"/>
        <v>0.15173675530578185</v>
      </c>
      <c r="G42" s="5">
        <v>658.15</v>
      </c>
      <c r="H42" s="24">
        <f t="shared" si="20"/>
        <v>4.659999999999968</v>
      </c>
      <c r="I42" s="25">
        <f t="shared" si="19"/>
        <v>0.007130943090177306</v>
      </c>
      <c r="J42" s="26">
        <f t="shared" si="18"/>
        <v>0.13055054539208108</v>
      </c>
    </row>
    <row r="43" spans="1:10" ht="11.25">
      <c r="A43" s="23" t="s">
        <v>105</v>
      </c>
      <c r="B43" s="54">
        <v>344996.78249999986</v>
      </c>
      <c r="C43" s="5">
        <f t="shared" si="10"/>
        <v>1963.6900000000023</v>
      </c>
      <c r="D43" s="106">
        <v>11.247547707497832</v>
      </c>
      <c r="E43" s="25">
        <f t="shared" si="21"/>
        <v>-0.023427214970520787</v>
      </c>
      <c r="F43" s="26">
        <f t="shared" si="22"/>
        <v>0.12475477074978318</v>
      </c>
      <c r="G43" s="5">
        <v>657.38</v>
      </c>
      <c r="H43" s="24">
        <f t="shared" si="20"/>
        <v>-0.7699999999999818</v>
      </c>
      <c r="I43" s="25">
        <f t="shared" si="19"/>
        <v>-0.001169946060928332</v>
      </c>
      <c r="J43" s="26">
        <f t="shared" si="18"/>
        <v>0.12922786223481925</v>
      </c>
    </row>
    <row r="44" spans="1:10" ht="11.25">
      <c r="A44" s="23" t="s">
        <v>106</v>
      </c>
      <c r="B44" s="54">
        <v>327419.1324999999</v>
      </c>
      <c r="C44" s="5">
        <f t="shared" si="10"/>
        <v>-17577.649999999965</v>
      </c>
      <c r="D44" s="106">
        <v>10.67448306750891</v>
      </c>
      <c r="E44" s="25">
        <f t="shared" si="21"/>
        <v>-0.05095018531078602</v>
      </c>
      <c r="F44" s="26">
        <f t="shared" si="22"/>
        <v>0.06744830675089108</v>
      </c>
      <c r="G44" s="5">
        <v>640.84</v>
      </c>
      <c r="H44" s="24">
        <f t="shared" si="20"/>
        <v>-16.539999999999964</v>
      </c>
      <c r="I44" s="25">
        <f aca="true" t="shared" si="23" ref="I44:I50">H44/G43</f>
        <v>-0.025160485563905145</v>
      </c>
      <c r="J44" s="26">
        <f aca="true" t="shared" si="24" ref="J44:J50">(G44-$G$19)/$G$19</f>
        <v>0.10081594090870061</v>
      </c>
    </row>
    <row r="45" spans="1:10" ht="11.25">
      <c r="A45" s="23" t="s">
        <v>107</v>
      </c>
      <c r="B45" s="54">
        <v>333237.1324999999</v>
      </c>
      <c r="C45" s="5">
        <f t="shared" si="10"/>
        <v>5818</v>
      </c>
      <c r="D45" s="106">
        <v>10.864160872872855</v>
      </c>
      <c r="E45" s="25">
        <f t="shared" si="21"/>
        <v>0.01776927315021812</v>
      </c>
      <c r="F45" s="26">
        <f t="shared" si="22"/>
        <v>0.08641608728728549</v>
      </c>
      <c r="G45" s="5">
        <v>636.75</v>
      </c>
      <c r="H45" s="24">
        <f t="shared" si="20"/>
        <v>-4.090000000000032</v>
      </c>
      <c r="I45" s="25">
        <f t="shared" si="23"/>
        <v>-0.006382248299107471</v>
      </c>
      <c r="J45" s="26">
        <f t="shared" si="24"/>
        <v>0.09379026024220566</v>
      </c>
    </row>
    <row r="46" spans="1:10" ht="11.25">
      <c r="A46" s="23" t="s">
        <v>109</v>
      </c>
      <c r="B46" s="54">
        <v>324649.2624999999</v>
      </c>
      <c r="C46" s="5">
        <f t="shared" si="10"/>
        <v>-8587.869999999995</v>
      </c>
      <c r="D46" s="106">
        <v>10.258161149945678</v>
      </c>
      <c r="E46" s="25">
        <f t="shared" si="21"/>
        <v>-0.055779708163225084</v>
      </c>
      <c r="F46" s="26">
        <f t="shared" si="22"/>
        <v>0.02581611499456784</v>
      </c>
      <c r="G46" s="5">
        <v>619.03</v>
      </c>
      <c r="H46" s="24">
        <f aca="true" t="shared" si="25" ref="H46:H56">G46-G45</f>
        <v>-17.720000000000027</v>
      </c>
      <c r="I46" s="25">
        <f t="shared" si="23"/>
        <v>-0.02782881821751084</v>
      </c>
      <c r="J46" s="26">
        <f t="shared" si="24"/>
        <v>0.06335136992184144</v>
      </c>
    </row>
    <row r="47" spans="1:10" ht="11.25">
      <c r="A47" s="23" t="s">
        <v>110</v>
      </c>
      <c r="B47" s="54">
        <v>319246.53249999986</v>
      </c>
      <c r="C47" s="5">
        <f t="shared" si="10"/>
        <v>-5402.73000000004</v>
      </c>
      <c r="D47" s="106">
        <v>10.087447455533246</v>
      </c>
      <c r="E47" s="25">
        <f t="shared" si="21"/>
        <v>-0.016641744257774364</v>
      </c>
      <c r="F47" s="26">
        <f aca="true" t="shared" si="26" ref="F47:F53">(D47-$D$19)/$D$19</f>
        <v>0.008744745553324584</v>
      </c>
      <c r="G47" s="5">
        <v>614.23</v>
      </c>
      <c r="H47" s="24">
        <f t="shared" si="25"/>
        <v>-4.7999999999999545</v>
      </c>
      <c r="I47" s="25">
        <f t="shared" si="23"/>
        <v>-0.007754066846517867</v>
      </c>
      <c r="J47" s="26">
        <f t="shared" si="24"/>
        <v>0.05510607231813114</v>
      </c>
    </row>
    <row r="48" spans="1:10" ht="11.25">
      <c r="A48" s="23" t="s">
        <v>111</v>
      </c>
      <c r="B48" s="54">
        <v>313956.53249999986</v>
      </c>
      <c r="C48" s="5">
        <f t="shared" si="10"/>
        <v>-5290</v>
      </c>
      <c r="D48" s="106">
        <v>9.920295766768165</v>
      </c>
      <c r="E48" s="25">
        <f aca="true" t="shared" si="27" ref="E48:E56">(D48-D47)/D47</f>
        <v>-0.01657026611557651</v>
      </c>
      <c r="F48" s="26">
        <f t="shared" si="26"/>
        <v>-0.007970423323183517</v>
      </c>
      <c r="G48" s="5">
        <v>613.43</v>
      </c>
      <c r="H48" s="24">
        <f t="shared" si="25"/>
        <v>-0.8000000000000682</v>
      </c>
      <c r="I48" s="25">
        <f t="shared" si="23"/>
        <v>-0.001302443710011019</v>
      </c>
      <c r="J48" s="26">
        <f t="shared" si="24"/>
        <v>0.053731856050845954</v>
      </c>
    </row>
    <row r="49" spans="1:10" ht="11.25">
      <c r="A49" s="23" t="s">
        <v>112</v>
      </c>
      <c r="B49" s="54">
        <v>312771.53249999986</v>
      </c>
      <c r="C49" s="5">
        <f t="shared" si="10"/>
        <v>-1185</v>
      </c>
      <c r="D49" s="106">
        <v>9.882852524577878</v>
      </c>
      <c r="E49" s="25">
        <f t="shared" si="27"/>
        <v>-0.0037744078473665624</v>
      </c>
      <c r="F49" s="26">
        <f t="shared" si="26"/>
        <v>-0.011714747542212222</v>
      </c>
      <c r="G49" s="5">
        <v>605.29</v>
      </c>
      <c r="H49" s="24">
        <f t="shared" si="25"/>
        <v>-8.139999999999986</v>
      </c>
      <c r="I49" s="25">
        <f t="shared" si="23"/>
        <v>-0.013269647718566074</v>
      </c>
      <c r="J49" s="26">
        <f t="shared" si="24"/>
        <v>0.03974920553122045</v>
      </c>
    </row>
    <row r="50" spans="1:10" ht="11.25">
      <c r="A50" s="23" t="s">
        <v>113</v>
      </c>
      <c r="B50" s="54">
        <v>318021.53249999986</v>
      </c>
      <c r="C50" s="5">
        <f t="shared" si="10"/>
        <v>5250</v>
      </c>
      <c r="D50" s="106">
        <v>10.048740306433581</v>
      </c>
      <c r="E50" s="25">
        <f t="shared" si="27"/>
        <v>0.016785415085690446</v>
      </c>
      <c r="F50" s="26">
        <f t="shared" si="26"/>
        <v>0.004874030643358118</v>
      </c>
      <c r="G50" s="5">
        <v>605.03</v>
      </c>
      <c r="H50" s="24">
        <f t="shared" si="25"/>
        <v>-0.2599999999999909</v>
      </c>
      <c r="I50" s="25">
        <f t="shared" si="23"/>
        <v>-0.0004295461679525367</v>
      </c>
      <c r="J50" s="26">
        <f t="shared" si="24"/>
        <v>0.039302585244352824</v>
      </c>
    </row>
    <row r="51" spans="1:10" ht="11.25">
      <c r="A51" s="23" t="s">
        <v>114</v>
      </c>
      <c r="B51" s="54">
        <v>332331.53249999986</v>
      </c>
      <c r="C51" s="5">
        <f t="shared" si="10"/>
        <v>14310</v>
      </c>
      <c r="D51" s="106">
        <v>10.500903003263126</v>
      </c>
      <c r="E51" s="25">
        <f t="shared" si="27"/>
        <v>0.044996953154422065</v>
      </c>
      <c r="F51" s="26">
        <f t="shared" si="26"/>
        <v>0.050090300326312585</v>
      </c>
      <c r="G51" s="5">
        <v>630.82</v>
      </c>
      <c r="H51" s="24">
        <f t="shared" si="25"/>
        <v>25.790000000000077</v>
      </c>
      <c r="I51" s="25">
        <f aca="true" t="shared" si="28" ref="I51:I56">H51/G50</f>
        <v>0.042625985488323026</v>
      </c>
      <c r="J51" s="26">
        <f aca="true" t="shared" si="29" ref="J51:J57">(G51-$G$19)/$G$19</f>
        <v>0.08360388216095521</v>
      </c>
    </row>
    <row r="52" spans="1:10" ht="11.25">
      <c r="A52" s="23" t="s">
        <v>115</v>
      </c>
      <c r="B52" s="54">
        <v>343521.28249999986</v>
      </c>
      <c r="C52" s="5">
        <f t="shared" si="10"/>
        <v>11189.75</v>
      </c>
      <c r="D52" s="106">
        <v>10.854473061743098</v>
      </c>
      <c r="E52" s="25">
        <f t="shared" si="27"/>
        <v>0.03367044323427247</v>
      </c>
      <c r="F52" s="26">
        <f t="shared" si="26"/>
        <v>0.08544730617430982</v>
      </c>
      <c r="G52" s="5">
        <v>635.25</v>
      </c>
      <c r="H52" s="24">
        <f t="shared" si="25"/>
        <v>4.42999999999995</v>
      </c>
      <c r="I52" s="25">
        <f t="shared" si="28"/>
        <v>0.00702260549760621</v>
      </c>
      <c r="J52" s="26">
        <f t="shared" si="29"/>
        <v>0.09121360474104616</v>
      </c>
    </row>
    <row r="53" spans="1:10" ht="11.25">
      <c r="A53" s="23" t="s">
        <v>116</v>
      </c>
      <c r="B53" s="54">
        <v>353630.0824999999</v>
      </c>
      <c r="C53" s="5">
        <f t="shared" si="10"/>
        <v>10108.800000000047</v>
      </c>
      <c r="D53" s="106">
        <v>11.1738876158808</v>
      </c>
      <c r="E53" s="25">
        <f t="shared" si="27"/>
        <v>0.029426997729027207</v>
      </c>
      <c r="F53" s="26">
        <f t="shared" si="26"/>
        <v>0.11738876158807994</v>
      </c>
      <c r="G53" s="5">
        <v>646.03</v>
      </c>
      <c r="H53" s="24">
        <f t="shared" si="25"/>
        <v>10.779999999999973</v>
      </c>
      <c r="I53" s="25">
        <f t="shared" si="28"/>
        <v>0.016969696969696926</v>
      </c>
      <c r="J53" s="26">
        <f t="shared" si="29"/>
        <v>0.10973116894271236</v>
      </c>
    </row>
    <row r="54" spans="1:10" ht="11.25">
      <c r="A54" s="23" t="s">
        <v>117</v>
      </c>
      <c r="B54" s="54">
        <v>356353.6949999999</v>
      </c>
      <c r="C54" s="5">
        <f t="shared" si="10"/>
        <v>2723.6124999999884</v>
      </c>
      <c r="D54" s="106">
        <v>11.259947432311174</v>
      </c>
      <c r="E54" s="25">
        <f t="shared" si="27"/>
        <v>0.007701868802408814</v>
      </c>
      <c r="F54" s="26">
        <f aca="true" t="shared" si="30" ref="F54:F59">(D54-$D$19)/$D$19</f>
        <v>0.1259947432311174</v>
      </c>
      <c r="G54" s="5">
        <v>641.15</v>
      </c>
      <c r="H54" s="24">
        <f t="shared" si="25"/>
        <v>-4.8799999999999955</v>
      </c>
      <c r="I54" s="25">
        <f t="shared" si="28"/>
        <v>-0.007553828769561778</v>
      </c>
      <c r="J54" s="26">
        <f t="shared" si="29"/>
        <v>0.10134844971227347</v>
      </c>
    </row>
    <row r="55" spans="1:10" ht="11.25">
      <c r="A55" s="23" t="s">
        <v>118</v>
      </c>
      <c r="B55" s="54">
        <v>359464.7524999999</v>
      </c>
      <c r="C55" s="5">
        <f t="shared" si="10"/>
        <v>3111.0574999999953</v>
      </c>
      <c r="D55" s="106">
        <v>11.358249609054136</v>
      </c>
      <c r="E55" s="25">
        <f t="shared" si="27"/>
        <v>0.008730251835890214</v>
      </c>
      <c r="F55" s="26">
        <f t="shared" si="30"/>
        <v>0.13582496090541357</v>
      </c>
      <c r="G55" s="5">
        <v>646.64</v>
      </c>
      <c r="H55" s="24">
        <f t="shared" si="25"/>
        <v>5.490000000000009</v>
      </c>
      <c r="I55" s="25">
        <f t="shared" si="28"/>
        <v>0.008562738828667253</v>
      </c>
      <c r="J55" s="26">
        <f t="shared" si="29"/>
        <v>0.11077900884651724</v>
      </c>
    </row>
    <row r="56" spans="1:10" ht="11.25">
      <c r="A56" s="23" t="s">
        <v>119</v>
      </c>
      <c r="B56" s="54">
        <v>358716.7624999999</v>
      </c>
      <c r="C56" s="5">
        <f t="shared" si="10"/>
        <v>-747.9899999999907</v>
      </c>
      <c r="D56" s="106">
        <v>11.334614865825516</v>
      </c>
      <c r="E56" s="25">
        <f t="shared" si="27"/>
        <v>-0.002080843795665419</v>
      </c>
      <c r="F56" s="26">
        <f t="shared" si="30"/>
        <v>0.13346148658255164</v>
      </c>
      <c r="G56" s="5">
        <v>659.43</v>
      </c>
      <c r="H56" s="24">
        <f t="shared" si="25"/>
        <v>12.789999999999964</v>
      </c>
      <c r="I56" s="25">
        <f t="shared" si="28"/>
        <v>0.019779166151181436</v>
      </c>
      <c r="J56" s="26">
        <f t="shared" si="29"/>
        <v>0.13274929141973715</v>
      </c>
    </row>
    <row r="57" spans="1:10" ht="11.25">
      <c r="A57" s="23" t="s">
        <v>120</v>
      </c>
      <c r="B57" s="54">
        <v>355570.1824999999</v>
      </c>
      <c r="C57" s="5">
        <f t="shared" si="10"/>
        <v>-3146.5800000000163</v>
      </c>
      <c r="D57" s="106">
        <v>11.235190260752846</v>
      </c>
      <c r="E57" s="25">
        <f>(D57-D56)/D56</f>
        <v>-0.008771767391271562</v>
      </c>
      <c r="F57" s="26">
        <f t="shared" si="30"/>
        <v>0.12351902607528462</v>
      </c>
      <c r="G57" s="5">
        <v>659.29</v>
      </c>
      <c r="H57" s="24">
        <f>G57-G56</f>
        <v>-0.13999999999998636</v>
      </c>
      <c r="I57" s="25">
        <f>H57/G56</f>
        <v>-0.0002123045660646109</v>
      </c>
      <c r="J57" s="26">
        <f t="shared" si="29"/>
        <v>0.13250880357296227</v>
      </c>
    </row>
    <row r="58" spans="1:10" ht="11.25">
      <c r="A58" s="23" t="s">
        <v>122</v>
      </c>
      <c r="B58" s="54">
        <v>351148.1824999999</v>
      </c>
      <c r="C58" s="5">
        <f t="shared" si="10"/>
        <v>-4422</v>
      </c>
      <c r="D58" s="106">
        <v>11.095465351921243</v>
      </c>
      <c r="E58" s="25">
        <f>(D58-D57)/D57</f>
        <v>-0.012436363389385127</v>
      </c>
      <c r="F58" s="26">
        <f t="shared" si="30"/>
        <v>0.10954653519212432</v>
      </c>
      <c r="G58" s="5">
        <v>664.36</v>
      </c>
      <c r="H58" s="24">
        <f>G58-G57</f>
        <v>5.07000000000005</v>
      </c>
      <c r="I58" s="25">
        <f>H58/G57</f>
        <v>0.007690090855314126</v>
      </c>
      <c r="J58" s="26">
        <f>(G58-$G$19)/$G$19</f>
        <v>0.14121789916688146</v>
      </c>
    </row>
    <row r="59" spans="1:10" ht="11.25">
      <c r="A59" s="23" t="s">
        <v>123</v>
      </c>
      <c r="B59" s="54">
        <v>347938.1824999999</v>
      </c>
      <c r="C59" s="5">
        <f t="shared" si="10"/>
        <v>-3210</v>
      </c>
      <c r="D59" s="106">
        <v>10.994036822443757</v>
      </c>
      <c r="E59" s="25">
        <f>(D59-D58)/D58</f>
        <v>-0.009141439882007583</v>
      </c>
      <c r="F59" s="26">
        <f t="shared" si="30"/>
        <v>0.09940368224437571</v>
      </c>
      <c r="G59" s="5">
        <v>667.08</v>
      </c>
      <c r="H59" s="24">
        <f>G59-G58</f>
        <v>2.7200000000000273</v>
      </c>
      <c r="I59" s="25">
        <f>H59/G58</f>
        <v>0.004094165813715496</v>
      </c>
      <c r="J59" s="26">
        <f>(G59-$G$19)/$G$19</f>
        <v>0.14589023447565072</v>
      </c>
    </row>
    <row r="60" spans="1:10" ht="11.25">
      <c r="A60" s="23" t="s">
        <v>124</v>
      </c>
      <c r="B60" s="54">
        <v>344741.1824999999</v>
      </c>
      <c r="C60" s="5">
        <f t="shared" si="10"/>
        <v>-3197</v>
      </c>
      <c r="D60" s="106">
        <v>10.893019062711817</v>
      </c>
      <c r="E60" s="25">
        <f>(D60-D59)/D59</f>
        <v>-0.009188413806811856</v>
      </c>
      <c r="F60" s="26">
        <f>(D60-$D$19)/$D$19</f>
        <v>0.08930190627118169</v>
      </c>
      <c r="G60" s="5">
        <v>674.45</v>
      </c>
      <c r="H60" s="24">
        <f>G60-G59</f>
        <v>7.3700000000000045</v>
      </c>
      <c r="I60" s="25">
        <f>H60/G59</f>
        <v>0.011048150146908922</v>
      </c>
      <c r="J60" s="26">
        <f>(G60-$G$19)/$G$19</f>
        <v>0.15855020183801438</v>
      </c>
    </row>
    <row r="61" spans="4:10" ht="11.25">
      <c r="D61" s="106"/>
      <c r="E61" s="32"/>
      <c r="F61" s="26"/>
      <c r="H61" s="33"/>
      <c r="I61" s="32"/>
      <c r="J61" s="26"/>
    </row>
    <row r="62" spans="4:10" ht="11.25">
      <c r="D62" s="106"/>
      <c r="E62" s="32"/>
      <c r="F62" s="26"/>
      <c r="H62" s="33"/>
      <c r="I62" s="32"/>
      <c r="J62" s="26"/>
    </row>
    <row r="63" spans="4:10" ht="11.25">
      <c r="D63" s="106"/>
      <c r="E63" s="32"/>
      <c r="F63" s="26"/>
      <c r="H63" s="33"/>
      <c r="I63" s="32"/>
      <c r="J63" s="26"/>
    </row>
    <row r="64" spans="4:10" ht="11.25">
      <c r="D64" s="106"/>
      <c r="E64" s="32"/>
      <c r="F64" s="26"/>
      <c r="H64" s="33"/>
      <c r="I64" s="32"/>
      <c r="J64" s="26"/>
    </row>
    <row r="65" spans="4:10" ht="11.25">
      <c r="D65" s="106"/>
      <c r="E65" s="32"/>
      <c r="F65" s="26"/>
      <c r="H65" s="33"/>
      <c r="I65" s="32"/>
      <c r="J65" s="26"/>
    </row>
    <row r="66" spans="4:10" ht="11.25">
      <c r="D66" s="106"/>
      <c r="E66" s="32"/>
      <c r="F66" s="26"/>
      <c r="H66" s="33"/>
      <c r="I66" s="32"/>
      <c r="J66" s="26"/>
    </row>
    <row r="67" spans="4:10" ht="11.25">
      <c r="D67" s="106"/>
      <c r="E67" s="32"/>
      <c r="F67" s="26"/>
      <c r="H67" s="33"/>
      <c r="I67" s="32"/>
      <c r="J67" s="26"/>
    </row>
    <row r="68" spans="4:10" ht="11.25">
      <c r="D68" s="106"/>
      <c r="E68" s="32"/>
      <c r="F68" s="26"/>
      <c r="H68" s="33"/>
      <c r="I68" s="32"/>
      <c r="J68" s="26"/>
    </row>
    <row r="69" spans="4:10" ht="11.25">
      <c r="D69" s="106"/>
      <c r="E69" s="32"/>
      <c r="F69" s="26"/>
      <c r="H69" s="33"/>
      <c r="I69" s="32"/>
      <c r="J69" s="26"/>
    </row>
    <row r="70" spans="4:10" ht="11.25">
      <c r="D70" s="106"/>
      <c r="E70" s="32"/>
      <c r="F70" s="26"/>
      <c r="H70" s="33"/>
      <c r="I70" s="32"/>
      <c r="J70" s="26"/>
    </row>
    <row r="71" spans="4:10" ht="11.25">
      <c r="D71" s="106"/>
      <c r="E71" s="32"/>
      <c r="F71" s="26"/>
      <c r="H71" s="33"/>
      <c r="I71" s="32"/>
      <c r="J71" s="26"/>
    </row>
    <row r="72" spans="4:10" ht="11.25">
      <c r="D72" s="106"/>
      <c r="E72" s="32"/>
      <c r="F72" s="26"/>
      <c r="H72" s="33"/>
      <c r="I72" s="32"/>
      <c r="J72" s="26"/>
    </row>
    <row r="73" spans="4:10" ht="11.25">
      <c r="D73" s="106"/>
      <c r="E73" s="32"/>
      <c r="F73" s="26"/>
      <c r="H73" s="33"/>
      <c r="I73" s="32"/>
      <c r="J73" s="26"/>
    </row>
    <row r="74" spans="4:10" ht="11.25">
      <c r="D74" s="106"/>
      <c r="E74" s="32"/>
      <c r="F74" s="26"/>
      <c r="H74" s="33"/>
      <c r="I74" s="32"/>
      <c r="J74" s="26"/>
    </row>
    <row r="75" spans="4:10" ht="11.25">
      <c r="D75" s="106"/>
      <c r="E75" s="32"/>
      <c r="F75" s="26"/>
      <c r="H75" s="33"/>
      <c r="I75" s="32"/>
      <c r="J75" s="26"/>
    </row>
    <row r="76" spans="4:10" ht="11.25">
      <c r="D76" s="106"/>
      <c r="E76" s="32"/>
      <c r="F76" s="26"/>
      <c r="H76" s="33"/>
      <c r="I76" s="32"/>
      <c r="J76" s="26"/>
    </row>
    <row r="77" spans="4:10" ht="11.25">
      <c r="D77" s="106"/>
      <c r="E77" s="32"/>
      <c r="F77" s="26"/>
      <c r="H77" s="33"/>
      <c r="I77" s="32"/>
      <c r="J77" s="26"/>
    </row>
    <row r="78" spans="4:10" ht="11.25">
      <c r="D78" s="107"/>
      <c r="F78" s="26"/>
      <c r="H78" s="33"/>
      <c r="I78" s="32"/>
      <c r="J78" s="26"/>
    </row>
    <row r="79" spans="4:10" ht="11.25">
      <c r="D79" s="106"/>
      <c r="E79" s="32"/>
      <c r="F79" s="26"/>
      <c r="H79" s="33"/>
      <c r="I79" s="32"/>
      <c r="J79" s="26"/>
    </row>
    <row r="80" spans="4:10" ht="11.25">
      <c r="D80" s="106"/>
      <c r="E80" s="32"/>
      <c r="F80" s="26"/>
      <c r="H80" s="33"/>
      <c r="I80" s="32"/>
      <c r="J80" s="26"/>
    </row>
    <row r="81" spans="4:10" ht="11.25">
      <c r="D81" s="106"/>
      <c r="E81" s="32"/>
      <c r="F81" s="26"/>
      <c r="H81" s="33"/>
      <c r="I81" s="32"/>
      <c r="J81" s="26"/>
    </row>
    <row r="82" spans="4:10" ht="11.25">
      <c r="D82" s="106"/>
      <c r="E82" s="32"/>
      <c r="F82" s="26"/>
      <c r="H82" s="33"/>
      <c r="I82" s="32"/>
      <c r="J82" s="26"/>
    </row>
    <row r="83" spans="4:10" ht="11.25">
      <c r="D83" s="106"/>
      <c r="E83" s="32"/>
      <c r="F83" s="26"/>
      <c r="H83" s="33"/>
      <c r="I83" s="32"/>
      <c r="J83" s="26"/>
    </row>
    <row r="84" spans="4:10" ht="11.25">
      <c r="D84" s="106"/>
      <c r="E84" s="32"/>
      <c r="F84" s="26"/>
      <c r="H84" s="33"/>
      <c r="I84" s="32"/>
      <c r="J84" s="26"/>
    </row>
    <row r="85" spans="4:10" ht="11.25">
      <c r="D85" s="106"/>
      <c r="E85" s="32"/>
      <c r="F85" s="26"/>
      <c r="H85" s="33"/>
      <c r="I85" s="32"/>
      <c r="J85" s="26"/>
    </row>
    <row r="86" spans="4:10" ht="11.25">
      <c r="D86" s="106"/>
      <c r="E86" s="32"/>
      <c r="F86" s="26"/>
      <c r="H86" s="33"/>
      <c r="I86" s="32"/>
      <c r="J86" s="26"/>
    </row>
    <row r="87" spans="4:10" ht="11.25">
      <c r="D87" s="106"/>
      <c r="E87" s="32"/>
      <c r="F87" s="26"/>
      <c r="H87" s="33"/>
      <c r="I87" s="32"/>
      <c r="J87" s="26"/>
    </row>
    <row r="88" spans="4:10" ht="11.25">
      <c r="D88" s="106"/>
      <c r="E88" s="32"/>
      <c r="F88" s="26"/>
      <c r="H88" s="33"/>
      <c r="I88" s="32"/>
      <c r="J88" s="26"/>
    </row>
    <row r="89" spans="4:10" ht="11.25">
      <c r="D89" s="106"/>
      <c r="E89" s="32"/>
      <c r="F89" s="26"/>
      <c r="H89" s="33"/>
      <c r="I89" s="32"/>
      <c r="J89" s="26"/>
    </row>
    <row r="90" spans="4:10" ht="11.25">
      <c r="D90" s="106"/>
      <c r="E90" s="32"/>
      <c r="F90" s="26"/>
      <c r="H90" s="33"/>
      <c r="I90" s="32"/>
      <c r="J90" s="26"/>
    </row>
    <row r="91" spans="4:10" ht="11.25">
      <c r="D91" s="106"/>
      <c r="E91" s="32"/>
      <c r="F91" s="26"/>
      <c r="H91" s="33"/>
      <c r="I91" s="32"/>
      <c r="J91" s="26"/>
    </row>
    <row r="92" spans="4:10" ht="11.25">
      <c r="D92" s="106"/>
      <c r="E92" s="32"/>
      <c r="F92" s="26"/>
      <c r="H92" s="33"/>
      <c r="I92" s="32"/>
      <c r="J92" s="26"/>
    </row>
    <row r="93" spans="4:10" ht="11.25">
      <c r="D93" s="106"/>
      <c r="E93" s="32"/>
      <c r="F93" s="26"/>
      <c r="H93" s="33"/>
      <c r="I93" s="32"/>
      <c r="J93" s="26"/>
    </row>
    <row r="94" spans="4:10" ht="11.25">
      <c r="D94" s="106"/>
      <c r="E94" s="32"/>
      <c r="F94" s="26"/>
      <c r="H94" s="33"/>
      <c r="I94" s="32"/>
      <c r="J94" s="26"/>
    </row>
    <row r="95" spans="4:10" ht="11.25">
      <c r="D95" s="106"/>
      <c r="E95" s="32"/>
      <c r="F95" s="26"/>
      <c r="H95" s="33"/>
      <c r="I95" s="32"/>
      <c r="J95" s="26"/>
    </row>
    <row r="96" spans="4:10" ht="11.25">
      <c r="D96" s="106"/>
      <c r="E96" s="32"/>
      <c r="F96" s="26"/>
      <c r="H96" s="33"/>
      <c r="I96" s="32"/>
      <c r="J96" s="26"/>
    </row>
    <row r="97" spans="4:10" ht="11.25">
      <c r="D97" s="106"/>
      <c r="E97" s="32"/>
      <c r="F97" s="26"/>
      <c r="H97" s="33"/>
      <c r="I97" s="32"/>
      <c r="J97" s="26"/>
    </row>
    <row r="98" spans="4:10" ht="11.25">
      <c r="D98" s="106"/>
      <c r="E98" s="32"/>
      <c r="F98" s="26"/>
      <c r="H98" s="33"/>
      <c r="I98" s="32"/>
      <c r="J98" s="26"/>
    </row>
    <row r="99" spans="4:10" ht="11.25">
      <c r="D99" s="106"/>
      <c r="E99" s="32"/>
      <c r="F99" s="26"/>
      <c r="H99" s="33"/>
      <c r="I99" s="32"/>
      <c r="J99" s="26"/>
    </row>
    <row r="100" spans="4:10" ht="11.25">
      <c r="D100" s="106"/>
      <c r="E100" s="32"/>
      <c r="F100" s="26"/>
      <c r="H100" s="33"/>
      <c r="I100" s="32"/>
      <c r="J100" s="26"/>
    </row>
    <row r="101" spans="4:10" ht="11.25">
      <c r="D101" s="106"/>
      <c r="E101" s="32"/>
      <c r="F101" s="26"/>
      <c r="H101" s="33"/>
      <c r="I101" s="32"/>
      <c r="J101" s="26"/>
    </row>
    <row r="102" spans="4:10" ht="11.25">
      <c r="D102" s="106"/>
      <c r="E102" s="32"/>
      <c r="F102" s="26"/>
      <c r="H102" s="33"/>
      <c r="I102" s="32"/>
      <c r="J102" s="26"/>
    </row>
    <row r="103" spans="4:10" ht="11.25">
      <c r="D103" s="106"/>
      <c r="E103" s="32"/>
      <c r="F103" s="26"/>
      <c r="H103" s="33"/>
      <c r="I103" s="32"/>
      <c r="J103" s="26"/>
    </row>
    <row r="104" spans="4:10" ht="11.25">
      <c r="D104" s="106"/>
      <c r="E104" s="32"/>
      <c r="F104" s="26"/>
      <c r="H104" s="33"/>
      <c r="I104" s="32"/>
      <c r="J104" s="26"/>
    </row>
    <row r="105" spans="4:10" ht="11.25">
      <c r="D105" s="106"/>
      <c r="E105" s="32"/>
      <c r="F105" s="26"/>
      <c r="H105" s="33"/>
      <c r="I105" s="32"/>
      <c r="J105" s="26"/>
    </row>
    <row r="106" spans="4:10" ht="11.25">
      <c r="D106" s="106"/>
      <c r="E106" s="32"/>
      <c r="F106" s="26"/>
      <c r="H106" s="33"/>
      <c r="I106" s="32"/>
      <c r="J106" s="26"/>
    </row>
    <row r="107" spans="4:10" ht="11.25">
      <c r="D107" s="106"/>
      <c r="E107" s="32"/>
      <c r="F107" s="26"/>
      <c r="H107" s="33"/>
      <c r="I107" s="32"/>
      <c r="J107" s="26"/>
    </row>
    <row r="108" spans="4:10" ht="11.25">
      <c r="D108" s="106"/>
      <c r="E108" s="32"/>
      <c r="F108" s="26"/>
      <c r="H108" s="33"/>
      <c r="I108" s="32"/>
      <c r="J108" s="26"/>
    </row>
    <row r="109" spans="4:10" ht="11.25">
      <c r="D109" s="106"/>
      <c r="E109" s="32"/>
      <c r="F109" s="26"/>
      <c r="H109" s="33"/>
      <c r="I109" s="32"/>
      <c r="J109" s="26"/>
    </row>
    <row r="110" spans="4:10" ht="11.25">
      <c r="D110" s="106"/>
      <c r="E110" s="32"/>
      <c r="F110" s="26"/>
      <c r="H110" s="33"/>
      <c r="I110" s="32"/>
      <c r="J110" s="26"/>
    </row>
    <row r="111" spans="4:10" ht="11.25">
      <c r="D111" s="106"/>
      <c r="E111" s="32"/>
      <c r="F111" s="26"/>
      <c r="H111" s="33"/>
      <c r="I111" s="32"/>
      <c r="J111" s="26"/>
    </row>
    <row r="112" spans="4:10" ht="11.25">
      <c r="D112" s="106"/>
      <c r="E112" s="32"/>
      <c r="F112" s="26"/>
      <c r="H112" s="33"/>
      <c r="I112" s="32"/>
      <c r="J112" s="26"/>
    </row>
    <row r="113" spans="4:10" ht="11.25">
      <c r="D113" s="106"/>
      <c r="E113" s="32"/>
      <c r="F113" s="26"/>
      <c r="H113" s="33"/>
      <c r="I113" s="32"/>
      <c r="J113" s="26"/>
    </row>
    <row r="114" spans="4:10" ht="11.25">
      <c r="D114" s="106"/>
      <c r="E114" s="32"/>
      <c r="F114" s="26"/>
      <c r="H114" s="33"/>
      <c r="I114" s="32"/>
      <c r="J114" s="26"/>
    </row>
    <row r="115" spans="4:10" ht="11.25">
      <c r="D115" s="106"/>
      <c r="E115" s="32"/>
      <c r="F115" s="26"/>
      <c r="H115" s="33"/>
      <c r="I115" s="32"/>
      <c r="J115" s="26"/>
    </row>
    <row r="116" spans="4:10" ht="11.25">
      <c r="D116" s="106"/>
      <c r="E116" s="32"/>
      <c r="F116" s="26"/>
      <c r="H116" s="33"/>
      <c r="I116" s="32"/>
      <c r="J116" s="26"/>
    </row>
    <row r="117" spans="4:10" ht="11.25">
      <c r="D117" s="106"/>
      <c r="E117" s="32"/>
      <c r="F117" s="26"/>
      <c r="H117" s="33"/>
      <c r="I117" s="32"/>
      <c r="J117" s="26"/>
    </row>
    <row r="118" spans="4:10" ht="11.25">
      <c r="D118" s="106"/>
      <c r="E118" s="32"/>
      <c r="F118" s="26"/>
      <c r="H118" s="33"/>
      <c r="I118" s="32"/>
      <c r="J118" s="26"/>
    </row>
    <row r="119" spans="4:10" ht="11.25">
      <c r="D119" s="106"/>
      <c r="E119" s="32"/>
      <c r="F119" s="26"/>
      <c r="H119" s="33"/>
      <c r="I119" s="32"/>
      <c r="J119" s="26"/>
    </row>
    <row r="120" spans="4:10" ht="11.25">
      <c r="D120" s="106"/>
      <c r="E120" s="32"/>
      <c r="F120" s="26"/>
      <c r="H120" s="33"/>
      <c r="I120" s="32"/>
      <c r="J120" s="26"/>
    </row>
    <row r="121" spans="4:10" ht="11.25">
      <c r="D121" s="106"/>
      <c r="E121" s="32"/>
      <c r="F121" s="26"/>
      <c r="H121" s="33"/>
      <c r="I121" s="32"/>
      <c r="J121" s="26"/>
    </row>
    <row r="122" spans="4:10" ht="11.25">
      <c r="D122" s="106"/>
      <c r="E122" s="32"/>
      <c r="F122" s="26"/>
      <c r="H122" s="33"/>
      <c r="I122" s="32"/>
      <c r="J122" s="26"/>
    </row>
    <row r="123" spans="4:10" ht="11.25">
      <c r="D123" s="106"/>
      <c r="E123" s="32"/>
      <c r="F123" s="26"/>
      <c r="H123" s="33"/>
      <c r="I123" s="32"/>
      <c r="J123" s="26"/>
    </row>
    <row r="124" spans="4:10" ht="11.25">
      <c r="D124" s="31"/>
      <c r="E124" s="32"/>
      <c r="F124" s="26"/>
      <c r="H124" s="33"/>
      <c r="I124" s="32"/>
      <c r="J124" s="26"/>
    </row>
    <row r="125" spans="4:10" ht="11.25">
      <c r="D125" s="31"/>
      <c r="E125" s="32"/>
      <c r="F125" s="26"/>
      <c r="H125" s="33"/>
      <c r="I125" s="32"/>
      <c r="J125" s="26"/>
    </row>
    <row r="126" spans="4:10" ht="11.25">
      <c r="D126" s="31"/>
      <c r="E126" s="32"/>
      <c r="F126" s="26"/>
      <c r="H126" s="33"/>
      <c r="I126" s="32"/>
      <c r="J126" s="26"/>
    </row>
    <row r="127" spans="4:10" ht="11.25">
      <c r="D127" s="31"/>
      <c r="E127" s="32"/>
      <c r="F127" s="26"/>
      <c r="H127" s="33"/>
      <c r="I127" s="32"/>
      <c r="J127" s="26"/>
    </row>
    <row r="128" spans="4:10" ht="11.25">
      <c r="D128" s="31"/>
      <c r="E128" s="32"/>
      <c r="F128" s="26"/>
      <c r="H128" s="33"/>
      <c r="I128" s="32"/>
      <c r="J128" s="26"/>
    </row>
    <row r="129" spans="4:10" ht="11.25">
      <c r="D129" s="31"/>
      <c r="E129" s="32"/>
      <c r="F129" s="26"/>
      <c r="H129" s="33"/>
      <c r="I129" s="32"/>
      <c r="J129" s="26"/>
    </row>
    <row r="130" spans="4:10" ht="11.25">
      <c r="D130" s="31"/>
      <c r="E130" s="32"/>
      <c r="F130" s="26"/>
      <c r="H130" s="33"/>
      <c r="I130" s="32"/>
      <c r="J130" s="26"/>
    </row>
    <row r="131" spans="4:10" ht="11.25">
      <c r="D131" s="31"/>
      <c r="E131" s="32"/>
      <c r="F131" s="26"/>
      <c r="H131" s="33"/>
      <c r="I131" s="32"/>
      <c r="J131" s="26"/>
    </row>
    <row r="132" spans="4:10" ht="11.25">
      <c r="D132" s="31"/>
      <c r="E132" s="32"/>
      <c r="F132" s="26"/>
      <c r="H132" s="33"/>
      <c r="I132" s="32"/>
      <c r="J132" s="26"/>
    </row>
    <row r="133" spans="4:10" ht="11.25">
      <c r="D133" s="31"/>
      <c r="E133" s="32"/>
      <c r="F133" s="26"/>
      <c r="H133" s="33"/>
      <c r="I133" s="32"/>
      <c r="J133" s="26"/>
    </row>
    <row r="134" spans="4:10" ht="11.25">
      <c r="D134" s="31"/>
      <c r="E134" s="32"/>
      <c r="F134" s="26"/>
      <c r="H134" s="33"/>
      <c r="I134" s="32"/>
      <c r="J134" s="26"/>
    </row>
    <row r="135" spans="4:10" ht="11.25">
      <c r="D135" s="31"/>
      <c r="E135" s="32"/>
      <c r="F135" s="26"/>
      <c r="H135" s="33"/>
      <c r="I135" s="32"/>
      <c r="J135" s="26"/>
    </row>
    <row r="136" spans="4:10" ht="11.25">
      <c r="D136" s="31"/>
      <c r="E136" s="32"/>
      <c r="F136" s="26"/>
      <c r="H136" s="33"/>
      <c r="I136" s="32"/>
      <c r="J136" s="26"/>
    </row>
    <row r="137" spans="4:10" ht="11.25">
      <c r="D137" s="31"/>
      <c r="E137" s="32"/>
      <c r="F137" s="26"/>
      <c r="H137" s="33"/>
      <c r="I137" s="32"/>
      <c r="J137" s="26"/>
    </row>
    <row r="138" spans="4:10" ht="11.25">
      <c r="D138" s="31"/>
      <c r="E138" s="32"/>
      <c r="F138" s="26"/>
      <c r="H138" s="33"/>
      <c r="I138" s="32"/>
      <c r="J138" s="26"/>
    </row>
    <row r="139" spans="4:10" ht="11.25">
      <c r="D139" s="31"/>
      <c r="E139" s="32"/>
      <c r="F139" s="26"/>
      <c r="H139" s="33"/>
      <c r="I139" s="32"/>
      <c r="J139" s="26"/>
    </row>
    <row r="140" spans="4:10" ht="11.25">
      <c r="D140" s="31"/>
      <c r="E140" s="32"/>
      <c r="F140" s="26"/>
      <c r="H140" s="33"/>
      <c r="I140" s="32"/>
      <c r="J140" s="26"/>
    </row>
    <row r="141" spans="4:10" ht="11.25">
      <c r="D141" s="31"/>
      <c r="E141" s="32"/>
      <c r="F141" s="26"/>
      <c r="H141" s="33"/>
      <c r="I141" s="32"/>
      <c r="J141" s="26"/>
    </row>
    <row r="142" spans="4:10" ht="11.25">
      <c r="D142" s="31"/>
      <c r="E142" s="32"/>
      <c r="F142" s="26"/>
      <c r="H142" s="33"/>
      <c r="I142" s="32"/>
      <c r="J142" s="26"/>
    </row>
    <row r="143" spans="4:10" ht="11.25">
      <c r="D143" s="31"/>
      <c r="E143" s="32"/>
      <c r="F143" s="26"/>
      <c r="H143" s="33"/>
      <c r="I143" s="32"/>
      <c r="J143" s="26"/>
    </row>
    <row r="144" spans="4:10" ht="11.25">
      <c r="D144" s="31"/>
      <c r="E144" s="32"/>
      <c r="F144" s="26"/>
      <c r="H144" s="33"/>
      <c r="I144" s="32"/>
      <c r="J144" s="26"/>
    </row>
    <row r="145" spans="4:10" ht="11.25">
      <c r="D145" s="31"/>
      <c r="E145" s="32"/>
      <c r="F145" s="26"/>
      <c r="H145" s="33"/>
      <c r="I145" s="32"/>
      <c r="J145" s="26"/>
    </row>
    <row r="146" spans="4:10" ht="11.25">
      <c r="D146" s="31"/>
      <c r="E146" s="32"/>
      <c r="F146" s="26"/>
      <c r="H146" s="33"/>
      <c r="I146" s="32"/>
      <c r="J146" s="26"/>
    </row>
    <row r="147" spans="4:10" ht="11.25">
      <c r="D147" s="31"/>
      <c r="E147" s="32"/>
      <c r="F147" s="26"/>
      <c r="H147" s="33"/>
      <c r="I147" s="32"/>
      <c r="J147" s="26"/>
    </row>
    <row r="148" spans="4:10" ht="11.25">
      <c r="D148" s="31"/>
      <c r="E148" s="32"/>
      <c r="F148" s="26"/>
      <c r="H148" s="33"/>
      <c r="I148" s="32"/>
      <c r="J148" s="26"/>
    </row>
    <row r="149" spans="4:10" ht="11.25">
      <c r="D149" s="31"/>
      <c r="E149" s="32"/>
      <c r="F149" s="26"/>
      <c r="H149" s="33"/>
      <c r="I149" s="32"/>
      <c r="J149" s="26"/>
    </row>
    <row r="150" spans="4:10" ht="11.25">
      <c r="D150" s="31"/>
      <c r="E150" s="32"/>
      <c r="F150" s="26"/>
      <c r="H150" s="33"/>
      <c r="I150" s="32"/>
      <c r="J150" s="26"/>
    </row>
    <row r="151" spans="4:10" ht="11.25">
      <c r="D151" s="31"/>
      <c r="E151" s="32"/>
      <c r="F151" s="26"/>
      <c r="H151" s="33"/>
      <c r="I151" s="32"/>
      <c r="J151" s="26"/>
    </row>
    <row r="152" spans="4:10" ht="11.25">
      <c r="D152" s="31"/>
      <c r="E152" s="32"/>
      <c r="F152" s="26"/>
      <c r="H152" s="33"/>
      <c r="I152" s="32"/>
      <c r="J152" s="26"/>
    </row>
    <row r="153" spans="4:10" ht="11.25">
      <c r="D153" s="31"/>
      <c r="E153" s="32"/>
      <c r="F153" s="26"/>
      <c r="H153" s="33"/>
      <c r="I153" s="32"/>
      <c r="J153" s="26"/>
    </row>
    <row r="154" spans="4:10" ht="11.25">
      <c r="D154" s="31"/>
      <c r="E154" s="32"/>
      <c r="F154" s="26"/>
      <c r="H154" s="33"/>
      <c r="I154" s="32"/>
      <c r="J154" s="26"/>
    </row>
    <row r="155" spans="4:10" ht="11.25">
      <c r="D155" s="31"/>
      <c r="E155" s="32"/>
      <c r="F155" s="26"/>
      <c r="H155" s="33"/>
      <c r="I155" s="32"/>
      <c r="J155" s="26"/>
    </row>
    <row r="156" spans="4:10" ht="11.25">
      <c r="D156" s="31"/>
      <c r="E156" s="32"/>
      <c r="F156" s="26"/>
      <c r="H156" s="33"/>
      <c r="I156" s="32"/>
      <c r="J156" s="26"/>
    </row>
    <row r="157" spans="4:10" ht="11.25">
      <c r="D157" s="31"/>
      <c r="E157" s="32"/>
      <c r="F157" s="26"/>
      <c r="H157" s="33"/>
      <c r="I157" s="32"/>
      <c r="J157" s="26"/>
    </row>
    <row r="158" spans="4:10" ht="11.25">
      <c r="D158" s="31"/>
      <c r="E158" s="32"/>
      <c r="F158" s="26"/>
      <c r="H158" s="33"/>
      <c r="I158" s="32"/>
      <c r="J158" s="26"/>
    </row>
    <row r="159" spans="4:10" ht="11.25">
      <c r="D159" s="31"/>
      <c r="E159" s="32"/>
      <c r="F159" s="26"/>
      <c r="H159" s="33"/>
      <c r="I159" s="32"/>
      <c r="J159" s="26"/>
    </row>
    <row r="160" spans="4:10" ht="11.25">
      <c r="D160" s="31"/>
      <c r="E160" s="32"/>
      <c r="F160" s="26"/>
      <c r="H160" s="33"/>
      <c r="I160" s="32"/>
      <c r="J160" s="26"/>
    </row>
    <row r="161" spans="4:10" ht="11.25">
      <c r="D161" s="31"/>
      <c r="E161" s="32"/>
      <c r="F161" s="26"/>
      <c r="H161" s="33"/>
      <c r="I161" s="32"/>
      <c r="J161" s="26"/>
    </row>
    <row r="162" spans="4:10" ht="11.25">
      <c r="D162" s="31"/>
      <c r="E162" s="32"/>
      <c r="F162" s="26"/>
      <c r="H162" s="33"/>
      <c r="I162" s="32"/>
      <c r="J162" s="26"/>
    </row>
    <row r="163" spans="4:10" ht="11.25">
      <c r="D163" s="31"/>
      <c r="E163" s="32"/>
      <c r="F163" s="26"/>
      <c r="H163" s="33"/>
      <c r="I163" s="32"/>
      <c r="J163" s="26"/>
    </row>
    <row r="164" spans="4:10" ht="11.25">
      <c r="D164" s="31"/>
      <c r="E164" s="32"/>
      <c r="F164" s="26"/>
      <c r="H164" s="33"/>
      <c r="I164" s="32"/>
      <c r="J164" s="26"/>
    </row>
    <row r="165" spans="4:10" ht="11.25">
      <c r="D165" s="31"/>
      <c r="E165" s="32"/>
      <c r="F165" s="26"/>
      <c r="H165" s="33"/>
      <c r="I165" s="32"/>
      <c r="J165" s="26"/>
    </row>
    <row r="166" spans="4:10" ht="11.25">
      <c r="D166" s="31"/>
      <c r="E166" s="32"/>
      <c r="F166" s="26"/>
      <c r="H166" s="33"/>
      <c r="I166" s="32"/>
      <c r="J166" s="26"/>
    </row>
    <row r="167" spans="4:10" ht="11.25">
      <c r="D167" s="31"/>
      <c r="E167" s="32"/>
      <c r="F167" s="26"/>
      <c r="H167" s="33"/>
      <c r="I167" s="32"/>
      <c r="J167" s="26"/>
    </row>
    <row r="168" spans="4:10" ht="11.25">
      <c r="D168" s="31"/>
      <c r="E168" s="32"/>
      <c r="F168" s="26"/>
      <c r="H168" s="33"/>
      <c r="I168" s="32"/>
      <c r="J168" s="26"/>
    </row>
    <row r="169" spans="4:10" ht="11.25">
      <c r="D169" s="31"/>
      <c r="E169" s="32"/>
      <c r="F169" s="26"/>
      <c r="H169" s="33"/>
      <c r="I169" s="32"/>
      <c r="J169" s="26"/>
    </row>
    <row r="170" spans="4:10" ht="11.25">
      <c r="D170" s="31"/>
      <c r="E170" s="32"/>
      <c r="F170" s="26"/>
      <c r="H170" s="33"/>
      <c r="I170" s="32"/>
      <c r="J170" s="26"/>
    </row>
    <row r="171" spans="4:10" ht="11.25">
      <c r="D171" s="31"/>
      <c r="E171" s="32"/>
      <c r="F171" s="26"/>
      <c r="H171" s="33"/>
      <c r="I171" s="32"/>
      <c r="J171" s="26"/>
    </row>
    <row r="172" spans="4:10" ht="11.25">
      <c r="D172" s="31"/>
      <c r="E172" s="32"/>
      <c r="F172" s="26"/>
      <c r="H172" s="33"/>
      <c r="I172" s="32"/>
      <c r="J172" s="26"/>
    </row>
    <row r="173" spans="4:10" ht="11.25">
      <c r="D173" s="31"/>
      <c r="E173" s="32"/>
      <c r="F173" s="26"/>
      <c r="H173" s="33"/>
      <c r="I173" s="32"/>
      <c r="J173" s="26"/>
    </row>
    <row r="174" spans="4:10" ht="11.25">
      <c r="D174" s="31"/>
      <c r="E174" s="32"/>
      <c r="F174" s="26"/>
      <c r="H174" s="33"/>
      <c r="I174" s="32"/>
      <c r="J174" s="26"/>
    </row>
    <row r="175" spans="4:10" ht="11.25">
      <c r="D175" s="31"/>
      <c r="E175" s="32"/>
      <c r="F175" s="26"/>
      <c r="H175" s="33"/>
      <c r="I175" s="32"/>
      <c r="J175" s="26"/>
    </row>
    <row r="176" spans="4:10" ht="11.25">
      <c r="D176" s="31"/>
      <c r="E176" s="32"/>
      <c r="F176" s="26"/>
      <c r="H176" s="33"/>
      <c r="I176" s="32"/>
      <c r="J176" s="26"/>
    </row>
    <row r="177" spans="4:10" ht="11.25">
      <c r="D177" s="31"/>
      <c r="E177" s="32"/>
      <c r="F177" s="26"/>
      <c r="H177" s="33"/>
      <c r="I177" s="32"/>
      <c r="J177" s="26"/>
    </row>
    <row r="178" spans="4:10" ht="11.25">
      <c r="D178" s="31"/>
      <c r="E178" s="32"/>
      <c r="F178" s="26"/>
      <c r="H178" s="33"/>
      <c r="I178" s="32"/>
      <c r="J178" s="26"/>
    </row>
    <row r="179" spans="4:10" ht="11.25">
      <c r="D179" s="31"/>
      <c r="E179" s="32"/>
      <c r="F179" s="26"/>
      <c r="H179" s="33"/>
      <c r="I179" s="32"/>
      <c r="J179" s="26"/>
    </row>
    <row r="180" spans="4:10" ht="11.25">
      <c r="D180" s="31"/>
      <c r="E180" s="32"/>
      <c r="F180" s="26"/>
      <c r="H180" s="33"/>
      <c r="I180" s="32"/>
      <c r="J180" s="26"/>
    </row>
    <row r="181" spans="4:10" ht="11.25">
      <c r="D181" s="31"/>
      <c r="E181" s="32"/>
      <c r="F181" s="26"/>
      <c r="H181" s="33"/>
      <c r="I181" s="32"/>
      <c r="J181" s="26"/>
    </row>
    <row r="182" spans="4:10" ht="11.25">
      <c r="D182" s="31"/>
      <c r="E182" s="32"/>
      <c r="F182" s="26"/>
      <c r="H182" s="33"/>
      <c r="I182" s="32"/>
      <c r="J182" s="26"/>
    </row>
    <row r="183" spans="4:10" ht="11.25">
      <c r="D183" s="31"/>
      <c r="E183" s="32"/>
      <c r="F183" s="26"/>
      <c r="H183" s="33"/>
      <c r="I183" s="32"/>
      <c r="J183" s="26"/>
    </row>
    <row r="184" spans="4:10" ht="11.25">
      <c r="D184" s="31"/>
      <c r="E184" s="32"/>
      <c r="F184" s="26"/>
      <c r="H184" s="33"/>
      <c r="I184" s="32"/>
      <c r="J184" s="26"/>
    </row>
    <row r="185" spans="4:10" ht="11.25">
      <c r="D185" s="31"/>
      <c r="E185" s="32"/>
      <c r="F185" s="26"/>
      <c r="H185" s="33"/>
      <c r="I185" s="32"/>
      <c r="J185" s="26"/>
    </row>
    <row r="186" spans="4:10" ht="11.25">
      <c r="D186" s="31"/>
      <c r="E186" s="32"/>
      <c r="F186" s="26"/>
      <c r="H186" s="33"/>
      <c r="I186" s="32"/>
      <c r="J186" s="26"/>
    </row>
    <row r="187" spans="4:10" ht="11.25">
      <c r="D187" s="31"/>
      <c r="E187" s="32"/>
      <c r="F187" s="26"/>
      <c r="H187" s="33"/>
      <c r="I187" s="32"/>
      <c r="J187" s="26"/>
    </row>
    <row r="188" spans="4:10" ht="11.25">
      <c r="D188" s="31"/>
      <c r="E188" s="32"/>
      <c r="F188" s="26"/>
      <c r="H188" s="33"/>
      <c r="I188" s="32"/>
      <c r="J188" s="26"/>
    </row>
    <row r="189" spans="4:10" ht="11.25">
      <c r="D189" s="31"/>
      <c r="E189" s="32"/>
      <c r="F189" s="26"/>
      <c r="H189" s="33"/>
      <c r="I189" s="32"/>
      <c r="J189" s="26"/>
    </row>
    <row r="190" spans="4:10" ht="11.25">
      <c r="D190" s="31"/>
      <c r="E190" s="32"/>
      <c r="F190" s="26"/>
      <c r="H190" s="33"/>
      <c r="I190" s="32"/>
      <c r="J190" s="26"/>
    </row>
    <row r="191" spans="4:10" ht="11.25">
      <c r="D191" s="31"/>
      <c r="E191" s="32"/>
      <c r="F191" s="26"/>
      <c r="H191" s="33"/>
      <c r="I191" s="32"/>
      <c r="J191" s="26"/>
    </row>
    <row r="192" spans="4:10" ht="11.25">
      <c r="D192" s="31"/>
      <c r="E192" s="32"/>
      <c r="F192" s="26"/>
      <c r="H192" s="33"/>
      <c r="I192" s="32"/>
      <c r="J192" s="26"/>
    </row>
    <row r="193" spans="4:10" ht="11.25">
      <c r="D193" s="31"/>
      <c r="E193" s="32"/>
      <c r="F193" s="26"/>
      <c r="H193" s="33"/>
      <c r="I193" s="32"/>
      <c r="J193" s="26"/>
    </row>
    <row r="194" spans="4:10" ht="11.25">
      <c r="D194" s="31"/>
      <c r="E194" s="32"/>
      <c r="F194" s="26"/>
      <c r="H194" s="33"/>
      <c r="I194" s="32"/>
      <c r="J194" s="26"/>
    </row>
    <row r="195" spans="4:10" ht="11.25">
      <c r="D195" s="31"/>
      <c r="E195" s="32"/>
      <c r="F195" s="26"/>
      <c r="H195" s="33"/>
      <c r="I195" s="32"/>
      <c r="J195" s="26"/>
    </row>
    <row r="196" spans="4:10" ht="11.25">
      <c r="D196" s="31"/>
      <c r="E196" s="32"/>
      <c r="F196" s="26"/>
      <c r="H196" s="33"/>
      <c r="I196" s="32"/>
      <c r="J196" s="26"/>
    </row>
    <row r="197" spans="4:10" ht="11.25">
      <c r="D197" s="31"/>
      <c r="E197" s="32"/>
      <c r="F197" s="26"/>
      <c r="H197" s="33"/>
      <c r="I197" s="32"/>
      <c r="J197" s="26"/>
    </row>
    <row r="198" spans="4:10" ht="11.25">
      <c r="D198" s="31"/>
      <c r="E198" s="32"/>
      <c r="F198" s="26"/>
      <c r="H198" s="33"/>
      <c r="I198" s="32"/>
      <c r="J198" s="26"/>
    </row>
    <row r="199" spans="4:10" ht="11.25">
      <c r="D199" s="31"/>
      <c r="E199" s="32"/>
      <c r="F199" s="26"/>
      <c r="H199" s="33"/>
      <c r="I199" s="32"/>
      <c r="J199" s="26"/>
    </row>
    <row r="200" spans="4:10" ht="11.25">
      <c r="D200" s="31"/>
      <c r="E200" s="32"/>
      <c r="F200" s="26"/>
      <c r="H200" s="33"/>
      <c r="I200" s="32"/>
      <c r="J200" s="26"/>
    </row>
    <row r="201" spans="4:10" ht="11.25">
      <c r="D201" s="31"/>
      <c r="E201" s="32"/>
      <c r="F201" s="26"/>
      <c r="H201" s="33"/>
      <c r="I201" s="32"/>
      <c r="J201" s="26"/>
    </row>
    <row r="202" spans="4:10" ht="11.25">
      <c r="D202" s="31"/>
      <c r="E202" s="32"/>
      <c r="F202" s="26"/>
      <c r="H202" s="33"/>
      <c r="I202" s="32"/>
      <c r="J202" s="26"/>
    </row>
    <row r="203" spans="4:10" ht="11.25">
      <c r="D203" s="31"/>
      <c r="E203" s="32"/>
      <c r="F203" s="26"/>
      <c r="H203" s="33"/>
      <c r="I203" s="32"/>
      <c r="J203" s="26"/>
    </row>
    <row r="204" spans="4:10" ht="11.25">
      <c r="D204" s="31"/>
      <c r="E204" s="32"/>
      <c r="F204" s="26"/>
      <c r="H204" s="33"/>
      <c r="I204" s="32"/>
      <c r="J204" s="26"/>
    </row>
    <row r="205" spans="4:10" ht="11.25">
      <c r="D205" s="31"/>
      <c r="E205" s="32"/>
      <c r="F205" s="26"/>
      <c r="H205" s="33"/>
      <c r="I205" s="32"/>
      <c r="J205" s="26"/>
    </row>
    <row r="206" spans="4:10" ht="11.25">
      <c r="D206" s="31"/>
      <c r="E206" s="32"/>
      <c r="F206" s="26"/>
      <c r="H206" s="33"/>
      <c r="I206" s="32"/>
      <c r="J206" s="26"/>
    </row>
    <row r="207" spans="4:10" ht="11.25">
      <c r="D207" s="31"/>
      <c r="E207" s="32"/>
      <c r="F207" s="26"/>
      <c r="H207" s="33"/>
      <c r="I207" s="32"/>
      <c r="J207" s="26"/>
    </row>
    <row r="208" spans="4:10" ht="11.25">
      <c r="D208" s="31"/>
      <c r="E208" s="32"/>
      <c r="F208" s="26"/>
      <c r="H208" s="33"/>
      <c r="I208" s="32"/>
      <c r="J208" s="26"/>
    </row>
    <row r="209" spans="4:10" ht="11.25">
      <c r="D209" s="31"/>
      <c r="E209" s="32"/>
      <c r="F209" s="26"/>
      <c r="H209" s="33"/>
      <c r="I209" s="32"/>
      <c r="J209" s="26"/>
    </row>
    <row r="210" spans="4:10" ht="11.25">
      <c r="D210" s="31"/>
      <c r="E210" s="32"/>
      <c r="F210" s="26"/>
      <c r="H210" s="33"/>
      <c r="I210" s="32"/>
      <c r="J210" s="26"/>
    </row>
    <row r="211" spans="4:10" ht="11.25">
      <c r="D211" s="31"/>
      <c r="E211" s="32"/>
      <c r="F211" s="26"/>
      <c r="H211" s="33"/>
      <c r="I211" s="32"/>
      <c r="J211" s="26"/>
    </row>
    <row r="212" spans="4:10" ht="11.25">
      <c r="D212" s="31"/>
      <c r="E212" s="32"/>
      <c r="F212" s="26"/>
      <c r="H212" s="33"/>
      <c r="I212" s="32"/>
      <c r="J212" s="26"/>
    </row>
    <row r="213" spans="4:10" ht="11.25">
      <c r="D213" s="31"/>
      <c r="E213" s="32"/>
      <c r="F213" s="26"/>
      <c r="H213" s="33"/>
      <c r="I213" s="32"/>
      <c r="J213" s="26"/>
    </row>
    <row r="214" spans="4:10" ht="11.25">
      <c r="D214" s="31"/>
      <c r="E214" s="32"/>
      <c r="F214" s="26"/>
      <c r="H214" s="33"/>
      <c r="I214" s="32"/>
      <c r="J214" s="26"/>
    </row>
    <row r="215" spans="4:10" ht="11.25">
      <c r="D215" s="31"/>
      <c r="E215" s="32"/>
      <c r="F215" s="26"/>
      <c r="H215" s="33"/>
      <c r="I215" s="32"/>
      <c r="J215" s="26"/>
    </row>
    <row r="216" spans="4:10" ht="11.25">
      <c r="D216" s="31"/>
      <c r="E216" s="32"/>
      <c r="F216" s="26"/>
      <c r="H216" s="33"/>
      <c r="I216" s="32"/>
      <c r="J216" s="26"/>
    </row>
    <row r="217" spans="4:10" ht="11.25">
      <c r="D217" s="31"/>
      <c r="E217" s="32"/>
      <c r="F217" s="26"/>
      <c r="H217" s="33"/>
      <c r="I217" s="32"/>
      <c r="J217" s="26"/>
    </row>
    <row r="218" spans="4:10" ht="11.25">
      <c r="D218" s="31"/>
      <c r="E218" s="32"/>
      <c r="F218" s="26"/>
      <c r="H218" s="33"/>
      <c r="I218" s="32"/>
      <c r="J218" s="26"/>
    </row>
    <row r="219" spans="4:10" ht="11.25">
      <c r="D219" s="31"/>
      <c r="E219" s="32"/>
      <c r="F219" s="26"/>
      <c r="H219" s="33"/>
      <c r="I219" s="32"/>
      <c r="J219" s="26"/>
    </row>
    <row r="220" spans="4:10" ht="11.25">
      <c r="D220" s="31"/>
      <c r="E220" s="32"/>
      <c r="F220" s="26"/>
      <c r="H220" s="33"/>
      <c r="I220" s="32"/>
      <c r="J220" s="26"/>
    </row>
    <row r="221" spans="4:10" ht="11.25">
      <c r="D221" s="31"/>
      <c r="E221" s="32"/>
      <c r="F221" s="26"/>
      <c r="H221" s="33"/>
      <c r="I221" s="32"/>
      <c r="J221" s="26"/>
    </row>
    <row r="222" spans="4:10" ht="11.25">
      <c r="D222" s="31"/>
      <c r="E222" s="32"/>
      <c r="F222" s="26"/>
      <c r="H222" s="33"/>
      <c r="I222" s="32"/>
      <c r="J222" s="26"/>
    </row>
    <row r="223" spans="4:10" ht="11.25">
      <c r="D223" s="31"/>
      <c r="E223" s="32"/>
      <c r="F223" s="26"/>
      <c r="H223" s="33"/>
      <c r="I223" s="32"/>
      <c r="J223" s="26"/>
    </row>
    <row r="224" spans="4:10" ht="11.25">
      <c r="D224" s="31"/>
      <c r="E224" s="32"/>
      <c r="F224" s="26"/>
      <c r="H224" s="33"/>
      <c r="I224" s="32"/>
      <c r="J224" s="26"/>
    </row>
    <row r="225" spans="4:10" ht="11.25">
      <c r="D225" s="31"/>
      <c r="E225" s="32"/>
      <c r="F225" s="26"/>
      <c r="H225" s="33"/>
      <c r="I225" s="32"/>
      <c r="J225" s="26"/>
    </row>
    <row r="226" spans="4:10" ht="11.25">
      <c r="D226" s="31"/>
      <c r="E226" s="32"/>
      <c r="F226" s="26"/>
      <c r="H226" s="33"/>
      <c r="I226" s="32"/>
      <c r="J226" s="26"/>
    </row>
    <row r="227" spans="4:10" ht="11.25">
      <c r="D227" s="31"/>
      <c r="E227" s="32"/>
      <c r="F227" s="26"/>
      <c r="H227" s="33"/>
      <c r="I227" s="32"/>
      <c r="J227" s="26"/>
    </row>
  </sheetData>
  <mergeCells count="16">
    <mergeCell ref="B14:C14"/>
    <mergeCell ref="B15:C15"/>
    <mergeCell ref="B10:C10"/>
    <mergeCell ref="B11:C11"/>
    <mergeCell ref="B12:C12"/>
    <mergeCell ref="B13:C13"/>
    <mergeCell ref="A17:J17"/>
    <mergeCell ref="A1:J1"/>
    <mergeCell ref="B2:C2"/>
    <mergeCell ref="B3:C3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21" sqref="E21"/>
    </sheetView>
  </sheetViews>
  <sheetFormatPr defaultColWidth="9.140625" defaultRowHeight="21.75"/>
  <cols>
    <col min="1" max="1" width="11.57421875" style="96" customWidth="1"/>
    <col min="2" max="2" width="10.28125" style="96" customWidth="1"/>
    <col min="3" max="3" width="14.00390625" style="96" customWidth="1"/>
    <col min="4" max="4" width="11.8515625" style="96" customWidth="1"/>
    <col min="5" max="5" width="18.421875" style="96" customWidth="1"/>
    <col min="6" max="16384" width="9.140625" style="96" customWidth="1"/>
  </cols>
  <sheetData>
    <row r="1" spans="1:5" ht="12.75" thickBot="1">
      <c r="A1" s="164" t="s">
        <v>67</v>
      </c>
      <c r="B1" s="165"/>
      <c r="C1" s="165"/>
      <c r="D1" s="165"/>
      <c r="E1" s="166"/>
    </row>
    <row r="2" spans="1:5" ht="12">
      <c r="A2" s="103" t="s">
        <v>2</v>
      </c>
      <c r="B2" s="103" t="s">
        <v>0</v>
      </c>
      <c r="C2" s="103" t="s">
        <v>66</v>
      </c>
      <c r="D2" s="104" t="s">
        <v>58</v>
      </c>
      <c r="E2" s="104" t="s">
        <v>75</v>
      </c>
    </row>
    <row r="3" spans="1:5" ht="12">
      <c r="A3" s="118" t="s">
        <v>65</v>
      </c>
      <c r="B3" s="110">
        <v>37904</v>
      </c>
      <c r="C3" s="111">
        <v>14923.444</v>
      </c>
      <c r="D3" s="112">
        <v>10</v>
      </c>
      <c r="E3" s="133">
        <f>(C3*$E$16)-(D3*C3)</f>
        <v>13326.919973312266</v>
      </c>
    </row>
    <row r="4" spans="1:5" ht="12">
      <c r="A4" s="109"/>
      <c r="B4" s="110">
        <v>37925</v>
      </c>
      <c r="C4" s="111">
        <v>868</v>
      </c>
      <c r="D4" s="112">
        <v>11.5189</v>
      </c>
      <c r="E4" s="122">
        <f>(C4*$E$16)-(D4*C4)</f>
        <v>-543.2646535661443</v>
      </c>
    </row>
    <row r="5" spans="1:5" ht="12">
      <c r="A5" s="109"/>
      <c r="B5" s="110">
        <v>37931</v>
      </c>
      <c r="C5" s="111">
        <v>2642.195251402571</v>
      </c>
      <c r="D5" s="112">
        <v>11.3542</v>
      </c>
      <c r="E5" s="122">
        <f>(C5*$E$16)-(D5*C5)</f>
        <v>-1218.5300825402264</v>
      </c>
    </row>
    <row r="6" spans="1:5" ht="12">
      <c r="A6" s="109"/>
      <c r="B6" s="110">
        <v>37939</v>
      </c>
      <c r="C6" s="111">
        <v>889.0826925173927</v>
      </c>
      <c r="D6" s="112">
        <v>11.247547707497832</v>
      </c>
      <c r="E6" s="122">
        <f>(C6*$E$16)-(D6*C6)</f>
        <v>-315.2052820808931</v>
      </c>
    </row>
    <row r="7" spans="1:5" ht="12">
      <c r="A7" s="109"/>
      <c r="B7" s="110">
        <v>37944</v>
      </c>
      <c r="C7" s="111">
        <v>974.8335840925013</v>
      </c>
      <c r="D7" s="112">
        <v>10.258161149945678</v>
      </c>
      <c r="E7" s="133">
        <f>(C7*$E$16)-(D7*C7)</f>
        <v>618.8808144913</v>
      </c>
    </row>
    <row r="8" spans="1:5" ht="16.5" thickBot="1">
      <c r="A8" s="113"/>
      <c r="B8" s="114"/>
      <c r="C8" s="120">
        <f>SUM(C3:C5)</f>
        <v>18433.639251402572</v>
      </c>
      <c r="D8" s="115"/>
      <c r="E8" s="135">
        <f>SUM(E3:E5)</f>
        <v>11565.125237205895</v>
      </c>
    </row>
    <row r="9" spans="1:5" ht="16.5" thickBot="1">
      <c r="A9" s="119" t="s">
        <v>68</v>
      </c>
      <c r="B9" s="116">
        <v>37909</v>
      </c>
      <c r="C9" s="121">
        <v>4806.96067654018</v>
      </c>
      <c r="D9" s="117">
        <v>10.401582905393694</v>
      </c>
      <c r="E9" s="136">
        <f>(C9*$E$16)-(D9*C9)</f>
        <v>2362.3142832582307</v>
      </c>
    </row>
    <row r="10" spans="1:5" ht="12">
      <c r="A10" s="123" t="s">
        <v>69</v>
      </c>
      <c r="B10" s="124">
        <v>37909</v>
      </c>
      <c r="C10" s="125">
        <v>4806.96067654018</v>
      </c>
      <c r="D10" s="126">
        <v>10.401582905393694</v>
      </c>
      <c r="E10" s="138">
        <f>(C10*$E$16)-(D10*C10)</f>
        <v>2362.3142832582307</v>
      </c>
    </row>
    <row r="11" spans="1:5" ht="12">
      <c r="A11" s="128"/>
      <c r="B11" s="124">
        <v>37925</v>
      </c>
      <c r="C11" s="125">
        <v>1736</v>
      </c>
      <c r="D11" s="126">
        <v>11.5189</v>
      </c>
      <c r="E11" s="127">
        <f>(C11*$E$16)-(D11*C11)</f>
        <v>-1086.5293071322885</v>
      </c>
    </row>
    <row r="12" spans="1:5" ht="16.5" thickBot="1">
      <c r="A12" s="129"/>
      <c r="B12" s="130"/>
      <c r="C12" s="131">
        <f>SUM(C10:C11)</f>
        <v>6542.96067654018</v>
      </c>
      <c r="D12" s="132"/>
      <c r="E12" s="137">
        <f>SUM(E10:E11)</f>
        <v>1275.7849761259422</v>
      </c>
    </row>
    <row r="13" spans="1:5" s="101" customFormat="1" ht="12">
      <c r="A13" s="97"/>
      <c r="B13" s="97"/>
      <c r="C13" s="98"/>
      <c r="D13" s="99"/>
      <c r="E13" s="100"/>
    </row>
    <row r="14" spans="1:5" s="101" customFormat="1" ht="12">
      <c r="A14" s="97"/>
      <c r="B14" s="97"/>
      <c r="C14" s="98"/>
      <c r="D14" s="99"/>
      <c r="E14" s="100"/>
    </row>
    <row r="15" spans="1:5" s="101" customFormat="1" ht="12">
      <c r="A15" s="97"/>
      <c r="B15" s="97"/>
      <c r="C15" s="98"/>
      <c r="D15" s="99"/>
      <c r="E15" s="100"/>
    </row>
    <row r="16" spans="4:5" ht="12">
      <c r="D16" s="102" t="s">
        <v>57</v>
      </c>
      <c r="E16" s="108">
        <v>10.893019062711817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cp:lastPrinted>2003-08-11T15:01:25Z</cp:lastPrinted>
  <dcterms:created xsi:type="dcterms:W3CDTF">2002-10-20T17:23:22Z</dcterms:created>
  <dcterms:modified xsi:type="dcterms:W3CDTF">2003-12-15T16:18:11Z</dcterms:modified>
  <cp:category/>
  <cp:version/>
  <cp:contentType/>
  <cp:contentStatus/>
</cp:coreProperties>
</file>