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831" activeTab="5"/>
  </bookViews>
  <sheets>
    <sheet name="P&amp;L" sheetId="1" r:id="rId1"/>
    <sheet name="sales" sheetId="2" r:id="rId2"/>
    <sheet name="cogs" sheetId="3" r:id="rId3"/>
    <sheet name="SG&amp;A" sheetId="4" r:id="rId4"/>
    <sheet name="BS" sheetId="5" r:id="rId5"/>
    <sheet name="valuation" sheetId="6" r:id="rId6"/>
  </sheets>
  <definedNames/>
  <calcPr fullCalcOnLoad="1"/>
</workbook>
</file>

<file path=xl/sharedStrings.xml><?xml version="1.0" encoding="utf-8"?>
<sst xmlns="http://schemas.openxmlformats.org/spreadsheetml/2006/main" count="240" uniqueCount="171">
  <si>
    <t>TU Plc.</t>
  </si>
  <si>
    <t>Sales</t>
  </si>
  <si>
    <t>COGS</t>
  </si>
  <si>
    <t>Gross profit</t>
  </si>
  <si>
    <t>(Btmn)</t>
  </si>
  <si>
    <t>SG&amp;A</t>
  </si>
  <si>
    <t>EBIT</t>
  </si>
  <si>
    <t>Interest</t>
  </si>
  <si>
    <t>tax</t>
  </si>
  <si>
    <t>Net profit</t>
  </si>
  <si>
    <t>EPS (Bt)</t>
  </si>
  <si>
    <t>No.of share (mn)</t>
  </si>
  <si>
    <t>2002E</t>
  </si>
  <si>
    <t>Cash</t>
  </si>
  <si>
    <t>A/R</t>
  </si>
  <si>
    <t>I/V</t>
  </si>
  <si>
    <t>Current Assets</t>
  </si>
  <si>
    <t>Fixed Assets</t>
  </si>
  <si>
    <t>Total Assets</t>
  </si>
  <si>
    <t>Current Liab.</t>
  </si>
  <si>
    <t>Retain earnings</t>
  </si>
  <si>
    <t>Total Equity</t>
  </si>
  <si>
    <t>A/P</t>
  </si>
  <si>
    <t>Long term loan</t>
  </si>
  <si>
    <t>Total Liab.</t>
  </si>
  <si>
    <t>A/R turnover (days)</t>
  </si>
  <si>
    <t>I/V tunover (days)</t>
  </si>
  <si>
    <t>A/P turnover (days)</t>
  </si>
  <si>
    <t>ROA (%)</t>
  </si>
  <si>
    <t>ROE (%)</t>
  </si>
  <si>
    <t>D/E (x)</t>
  </si>
  <si>
    <t>EBT</t>
  </si>
  <si>
    <t>Gross profit margin (%)</t>
  </si>
  <si>
    <t>EBIT margin (%)</t>
  </si>
  <si>
    <t>Net profit margin (%)</t>
  </si>
  <si>
    <t>bal</t>
  </si>
  <si>
    <t>Growth</t>
  </si>
  <si>
    <t>(Apply growth rate)</t>
  </si>
  <si>
    <t>(Related with major indicator)</t>
  </si>
  <si>
    <t xml:space="preserve">Regression equation between retail industry growth and Thailand GDP growth </t>
  </si>
  <si>
    <t>Major business indicators</t>
  </si>
  <si>
    <t>This company has 2 stores in 2001</t>
  </si>
  <si>
    <t>Sales per store (Btmn)</t>
  </si>
  <si>
    <t>Plans to open new</t>
  </si>
  <si>
    <t>Maximum capacity is 2000 units per year</t>
  </si>
  <si>
    <t>Capacity utilization</t>
  </si>
  <si>
    <t>(Bt)</t>
  </si>
  <si>
    <t>Sales (Btmn)</t>
  </si>
  <si>
    <t xml:space="preserve">Gross margin </t>
  </si>
  <si>
    <t>Apply gross margin</t>
  </si>
  <si>
    <t>Using cost structure</t>
  </si>
  <si>
    <t>Raw material</t>
  </si>
  <si>
    <t>Labour</t>
  </si>
  <si>
    <t>Overhead</t>
  </si>
  <si>
    <t>%</t>
  </si>
  <si>
    <t xml:space="preserve"> </t>
  </si>
  <si>
    <t>Unit sales</t>
  </si>
  <si>
    <t>Units sales</t>
  </si>
  <si>
    <t>Cost per unit</t>
  </si>
  <si>
    <t>Expected cost per unit in 2002</t>
  </si>
  <si>
    <t>Unit sales in 2002</t>
  </si>
  <si>
    <t>Cost/units</t>
  </si>
  <si>
    <t>Gross margin</t>
  </si>
  <si>
    <t>Using (SG&amp;A per sales ratio)</t>
  </si>
  <si>
    <t>ratio</t>
  </si>
  <si>
    <t>Using effective interest rate</t>
  </si>
  <si>
    <t>Interest/Lt loan</t>
  </si>
  <si>
    <t>Current portion of LT Loan</t>
  </si>
  <si>
    <t>LT loan</t>
  </si>
  <si>
    <t>Interest exp.</t>
  </si>
  <si>
    <t>Tax (30%)</t>
  </si>
  <si>
    <t>O/D</t>
  </si>
  <si>
    <t>P/E RATIO</t>
  </si>
  <si>
    <t>As of 2002</t>
  </si>
  <si>
    <t>Price (Bt)</t>
  </si>
  <si>
    <t>FCFE</t>
  </si>
  <si>
    <t>No of Share (mn)</t>
  </si>
  <si>
    <t>NI</t>
  </si>
  <si>
    <t>Interest Baring Debt (Btmn)</t>
  </si>
  <si>
    <t>add : depre&amp;amortization</t>
  </si>
  <si>
    <t>Cash (Btmn)</t>
  </si>
  <si>
    <t>deduct : capex</t>
  </si>
  <si>
    <t>EBITDA (Btmn)</t>
  </si>
  <si>
    <t>deduct : change in wc</t>
  </si>
  <si>
    <t>EV/EBITDA (x)</t>
  </si>
  <si>
    <t>EV</t>
  </si>
  <si>
    <t>EBITDA</t>
  </si>
  <si>
    <t>Depreciation and Amor</t>
  </si>
  <si>
    <t>(In 2001, sold products 1500 units at Bt1.0 per units)</t>
  </si>
  <si>
    <t>Y = 2+3X</t>
  </si>
  <si>
    <t>(R-Gn)%</t>
  </si>
  <si>
    <t>Current Price and ratio</t>
  </si>
  <si>
    <t>P/E (x)</t>
  </si>
  <si>
    <t>P/BV (x)</t>
  </si>
  <si>
    <t>Dividend yield (%)</t>
  </si>
  <si>
    <t>Expected dividend (Bt)</t>
  </si>
  <si>
    <t>(Pay out 20% of EPS)</t>
  </si>
  <si>
    <t>Target price 2002</t>
  </si>
  <si>
    <t>Current</t>
  </si>
  <si>
    <t>Recommendation</t>
  </si>
  <si>
    <t>EV/EBITDA by theory</t>
  </si>
  <si>
    <t>Equity (par Bt10/share)</t>
  </si>
  <si>
    <t>EV/EBITDA by thory (x)</t>
  </si>
  <si>
    <t>P/E by theory (x)</t>
  </si>
  <si>
    <t xml:space="preserve">Change in units sold </t>
  </si>
  <si>
    <t>Change in selling price</t>
  </si>
  <si>
    <t>For manufacturer firms  : Sales = (Price * units)</t>
  </si>
  <si>
    <t>FCFE/(Earnings*g)</t>
  </si>
  <si>
    <t>discount rate</t>
  </si>
  <si>
    <t>Depreciation</t>
  </si>
  <si>
    <t>Depreciation &amp; Amortization</t>
  </si>
  <si>
    <t>Depre</t>
  </si>
  <si>
    <t>Depre for existing assets</t>
  </si>
  <si>
    <t>New assets in 2002</t>
  </si>
  <si>
    <t>year of utilize assets</t>
  </si>
  <si>
    <t>Depre for new assets in 2002</t>
  </si>
  <si>
    <t>Total depre in 2002</t>
  </si>
  <si>
    <t>Current portion</t>
  </si>
  <si>
    <t>Existing LT loan</t>
  </si>
  <si>
    <t>New borrowing</t>
  </si>
  <si>
    <t>Total LT loan</t>
  </si>
  <si>
    <t>Cost per store (Btmn)</t>
  </si>
  <si>
    <t>Use sales mix</t>
  </si>
  <si>
    <t>Food</t>
  </si>
  <si>
    <t>Non-Food</t>
  </si>
  <si>
    <t>Mix</t>
  </si>
  <si>
    <t>Gr(%)</t>
  </si>
  <si>
    <t>GP(%)</t>
  </si>
  <si>
    <t>Food (GP%)</t>
  </si>
  <si>
    <t>Non-Food (GP%)</t>
  </si>
  <si>
    <t>E(GP%)</t>
  </si>
  <si>
    <t>EBITDA margin (%)</t>
  </si>
  <si>
    <t xml:space="preserve">Forecast Thailand GDP growth in 2002 is equal </t>
  </si>
  <si>
    <t xml:space="preserve">Retail industry growth should be </t>
  </si>
  <si>
    <t>Effect from foreign exchange</t>
  </si>
  <si>
    <t>P/L</t>
  </si>
  <si>
    <t>Sales (Bt)</t>
  </si>
  <si>
    <t>Exchange rate (Bt/US)</t>
  </si>
  <si>
    <t>Sales (US)</t>
  </si>
  <si>
    <t>% of export</t>
  </si>
  <si>
    <t>COGS(Bt)</t>
  </si>
  <si>
    <t>% of import</t>
  </si>
  <si>
    <t>COGS (US)</t>
  </si>
  <si>
    <t>COGS (Bt)</t>
  </si>
  <si>
    <t>B/S</t>
  </si>
  <si>
    <t>Foreign debt (mnUS)</t>
  </si>
  <si>
    <t>Foreign debt (Btmn)</t>
  </si>
  <si>
    <t>Local debt (Btmn)</t>
  </si>
  <si>
    <t>FX (Gain or Loss)</t>
  </si>
  <si>
    <t>Dupont Analysis</t>
  </si>
  <si>
    <t>EBIT/Sales</t>
  </si>
  <si>
    <t>EBIT/Total Assets</t>
  </si>
  <si>
    <t>Interest Expense/TA</t>
  </si>
  <si>
    <t>EBT/Total Assets</t>
  </si>
  <si>
    <t>Tax retention rate</t>
  </si>
  <si>
    <t>Operating margin</t>
  </si>
  <si>
    <t>Total asset turnover</t>
  </si>
  <si>
    <t>Interest expense rate</t>
  </si>
  <si>
    <t>Financial leverage multiplier</t>
  </si>
  <si>
    <t>Sales/Total Assets (x)</t>
  </si>
  <si>
    <t>Total Assets/Total Equity (x)</t>
  </si>
  <si>
    <t xml:space="preserve">EBT/Total Equity </t>
  </si>
  <si>
    <t>Current ratio (x)</t>
  </si>
  <si>
    <t>SG&amp;A (Exclude DA)</t>
  </si>
  <si>
    <t>sale driver</t>
  </si>
  <si>
    <t>ร้านค้าปลีกหายอดขายต่อสาขา</t>
  </si>
  <si>
    <t>ห้างสรรพสินค้า</t>
  </si>
  <si>
    <t>ธุรกิจผลิต</t>
  </si>
  <si>
    <t>Total Loan (mnBt)</t>
  </si>
  <si>
    <t>เปิดสาขาเพิ่ม 2 สาขา</t>
  </si>
  <si>
    <t>ต้องกู้หนี้เพิ่มเพื่อให้งบดุล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</si>
</sst>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.0_-;\-* #,##0.0_-;_-* &quot;-&quot;?_-;_-@_-"/>
    <numFmt numFmtId="190" formatCode="0.0%"/>
    <numFmt numFmtId="191" formatCode="_-* #,##0.000_-;\-* #,##0.000_-;_-* &quot;-&quot;??_-;_-@_-"/>
    <numFmt numFmtId="192" formatCode="_-* #,##0_-;\-* #,##0_-;_-* &quot;-&quot;??_-;_-@_-"/>
    <numFmt numFmtId="193" formatCode="0.00000"/>
    <numFmt numFmtId="194" formatCode="0.000000"/>
    <numFmt numFmtId="195" formatCode="0.0000000"/>
    <numFmt numFmtId="196" formatCode="0.0000"/>
    <numFmt numFmtId="197" formatCode="0.000"/>
    <numFmt numFmtId="198" formatCode="0.00000000"/>
    <numFmt numFmtId="199" formatCode="_(* #,##0.00_);_(* \(#,##0.00\);_(* &quot;-&quot;??_);_(@_)"/>
    <numFmt numFmtId="200" formatCode="_-* #,##0.000_-;\-* #,##0.000_-;_-* &quot;-&quot;???_-;_-@_-"/>
  </numFmts>
  <fonts count="11">
    <font>
      <sz val="14"/>
      <name val="Cordia New"/>
      <family val="0"/>
    </font>
    <font>
      <b/>
      <sz val="14"/>
      <name val="Cordia New"/>
      <family val="2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4"/>
      <color indexed="10"/>
      <name val="Cordia New"/>
      <family val="2"/>
    </font>
    <font>
      <b/>
      <sz val="14"/>
      <color indexed="12"/>
      <name val="Cordia New"/>
      <family val="2"/>
    </font>
    <font>
      <sz val="14"/>
      <color indexed="60"/>
      <name val="Cordia New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7" fontId="0" fillId="0" borderId="0" xfId="0" applyNumberFormat="1" applyAlignment="1">
      <alignment/>
    </xf>
    <xf numFmtId="188" fontId="0" fillId="0" borderId="0" xfId="15" applyNumberFormat="1" applyAlignment="1">
      <alignment/>
    </xf>
    <xf numFmtId="0" fontId="0" fillId="0" borderId="0" xfId="0" applyFont="1" applyAlignment="1">
      <alignment/>
    </xf>
    <xf numFmtId="188" fontId="1" fillId="0" borderId="0" xfId="15" applyNumberFormat="1" applyFont="1" applyAlignment="1">
      <alignment/>
    </xf>
    <xf numFmtId="9" fontId="0" fillId="0" borderId="0" xfId="19" applyAlignment="1">
      <alignment/>
    </xf>
    <xf numFmtId="190" fontId="0" fillId="0" borderId="0" xfId="19" applyNumberFormat="1" applyAlignment="1">
      <alignment/>
    </xf>
    <xf numFmtId="43" fontId="1" fillId="0" borderId="0" xfId="15" applyNumberFormat="1" applyFont="1" applyAlignment="1">
      <alignment/>
    </xf>
    <xf numFmtId="192" fontId="0" fillId="0" borderId="0" xfId="15" applyNumberFormat="1" applyAlignment="1">
      <alignment/>
    </xf>
    <xf numFmtId="192" fontId="1" fillId="0" borderId="0" xfId="15" applyNumberFormat="1" applyFont="1" applyAlignment="1">
      <alignment/>
    </xf>
    <xf numFmtId="192" fontId="2" fillId="0" borderId="0" xfId="15" applyNumberFormat="1" applyFont="1" applyAlignment="1">
      <alignment/>
    </xf>
    <xf numFmtId="9" fontId="3" fillId="0" borderId="0" xfId="19" applyFont="1" applyAlignment="1">
      <alignment/>
    </xf>
    <xf numFmtId="192" fontId="0" fillId="0" borderId="0" xfId="0" applyNumberFormat="1" applyAlignment="1">
      <alignment/>
    </xf>
    <xf numFmtId="0" fontId="3" fillId="0" borderId="0" xfId="0" applyFont="1" applyAlignment="1">
      <alignment/>
    </xf>
    <xf numFmtId="192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2" fillId="0" borderId="0" xfId="19" applyFont="1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8" fontId="3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90" fontId="2" fillId="0" borderId="0" xfId="19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190" fontId="5" fillId="0" borderId="0" xfId="19" applyNumberFormat="1" applyFont="1" applyAlignment="1">
      <alignment/>
    </xf>
    <xf numFmtId="187" fontId="5" fillId="0" borderId="0" xfId="0" applyNumberFormat="1" applyFont="1" applyAlignment="1">
      <alignment/>
    </xf>
    <xf numFmtId="188" fontId="5" fillId="0" borderId="0" xfId="15" applyNumberFormat="1" applyFont="1" applyAlignment="1">
      <alignment/>
    </xf>
    <xf numFmtId="188" fontId="5" fillId="0" borderId="0" xfId="0" applyNumberFormat="1" applyFont="1" applyAlignment="1">
      <alignment/>
    </xf>
    <xf numFmtId="192" fontId="5" fillId="0" borderId="0" xfId="15" applyNumberFormat="1" applyFont="1" applyAlignment="1">
      <alignment/>
    </xf>
    <xf numFmtId="0" fontId="1" fillId="3" borderId="0" xfId="0" applyFont="1" applyFill="1" applyAlignment="1">
      <alignment/>
    </xf>
    <xf numFmtId="0" fontId="7" fillId="3" borderId="0" xfId="0" applyFont="1" applyFill="1" applyAlignment="1">
      <alignment/>
    </xf>
    <xf numFmtId="2" fontId="7" fillId="3" borderId="0" xfId="0" applyNumberFormat="1" applyFont="1" applyFill="1" applyAlignment="1">
      <alignment/>
    </xf>
    <xf numFmtId="188" fontId="7" fillId="3" borderId="0" xfId="15" applyNumberFormat="1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0" borderId="1" xfId="0" applyFont="1" applyBorder="1" applyAlignment="1">
      <alignment/>
    </xf>
    <xf numFmtId="188" fontId="1" fillId="0" borderId="1" xfId="15" applyNumberFormat="1" applyFont="1" applyBorder="1" applyAlignment="1">
      <alignment/>
    </xf>
    <xf numFmtId="0" fontId="0" fillId="0" borderId="2" xfId="0" applyBorder="1" applyAlignment="1">
      <alignment/>
    </xf>
    <xf numFmtId="188" fontId="0" fillId="0" borderId="2" xfId="15" applyNumberFormat="1" applyBorder="1" applyAlignment="1">
      <alignment/>
    </xf>
    <xf numFmtId="0" fontId="1" fillId="0" borderId="2" xfId="0" applyFont="1" applyBorder="1" applyAlignment="1">
      <alignment/>
    </xf>
    <xf numFmtId="188" fontId="1" fillId="0" borderId="2" xfId="15" applyNumberFormat="1" applyFont="1" applyBorder="1" applyAlignment="1">
      <alignment/>
    </xf>
    <xf numFmtId="0" fontId="0" fillId="0" borderId="3" xfId="0" applyBorder="1" applyAlignment="1">
      <alignment/>
    </xf>
    <xf numFmtId="188" fontId="0" fillId="0" borderId="3" xfId="15" applyNumberFormat="1" applyBorder="1" applyAlignment="1">
      <alignment/>
    </xf>
    <xf numFmtId="0" fontId="0" fillId="3" borderId="0" xfId="0" applyFill="1" applyAlignment="1">
      <alignment/>
    </xf>
    <xf numFmtId="192" fontId="1" fillId="3" borderId="0" xfId="0" applyNumberFormat="1" applyFont="1" applyFill="1" applyAlignment="1">
      <alignment/>
    </xf>
    <xf numFmtId="192" fontId="0" fillId="3" borderId="0" xfId="15" applyNumberFormat="1" applyFill="1" applyAlignment="1">
      <alignment/>
    </xf>
    <xf numFmtId="192" fontId="2" fillId="3" borderId="0" xfId="15" applyNumberFormat="1" applyFont="1" applyFill="1" applyAlignment="1">
      <alignment/>
    </xf>
    <xf numFmtId="188" fontId="0" fillId="3" borderId="0" xfId="15" applyNumberFormat="1" applyFill="1" applyAlignment="1">
      <alignment/>
    </xf>
    <xf numFmtId="192" fontId="3" fillId="3" borderId="0" xfId="0" applyNumberFormat="1" applyFont="1" applyFill="1" applyAlignment="1">
      <alignment/>
    </xf>
    <xf numFmtId="0" fontId="0" fillId="3" borderId="2" xfId="0" applyFill="1" applyBorder="1" applyAlignment="1">
      <alignment/>
    </xf>
    <xf numFmtId="188" fontId="0" fillId="3" borderId="2" xfId="15" applyNumberForma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4" borderId="0" xfId="0" applyFont="1" applyFill="1" applyAlignment="1">
      <alignment/>
    </xf>
    <xf numFmtId="192" fontId="1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3" borderId="0" xfId="0" applyFont="1" applyFill="1" applyAlignment="1">
      <alignment/>
    </xf>
    <xf numFmtId="188" fontId="5" fillId="3" borderId="0" xfId="15" applyNumberFormat="1" applyFont="1" applyFill="1" applyAlignment="1">
      <alignment/>
    </xf>
    <xf numFmtId="43" fontId="0" fillId="2" borderId="0" xfId="0" applyNumberFormat="1" applyFill="1" applyAlignment="1">
      <alignment/>
    </xf>
    <xf numFmtId="187" fontId="1" fillId="2" borderId="0" xfId="0" applyNumberFormat="1" applyFont="1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0" fontId="7" fillId="7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8" fillId="5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192" fontId="3" fillId="3" borderId="0" xfId="15" applyNumberFormat="1" applyFont="1" applyFill="1" applyAlignment="1">
      <alignment/>
    </xf>
    <xf numFmtId="0" fontId="0" fillId="3" borderId="0" xfId="0" applyFill="1" applyBorder="1" applyAlignment="1">
      <alignment/>
    </xf>
    <xf numFmtId="188" fontId="0" fillId="3" borderId="0" xfId="15" applyNumberForma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2" fillId="0" borderId="0" xfId="15" applyFont="1" applyAlignment="1">
      <alignment/>
    </xf>
    <xf numFmtId="0" fontId="2" fillId="0" borderId="0" xfId="19" applyFont="1" applyAlignment="1">
      <alignment/>
    </xf>
    <xf numFmtId="188" fontId="2" fillId="0" borderId="0" xfId="15" applyNumberFormat="1" applyFont="1" applyAlignment="1">
      <alignment/>
    </xf>
    <xf numFmtId="192" fontId="0" fillId="0" borderId="0" xfId="15" applyNumberFormat="1" applyFill="1" applyAlignment="1">
      <alignment/>
    </xf>
    <xf numFmtId="192" fontId="2" fillId="0" borderId="0" xfId="15" applyNumberFormat="1" applyFont="1" applyFill="1" applyAlignment="1">
      <alignment/>
    </xf>
    <xf numFmtId="192" fontId="1" fillId="0" borderId="0" xfId="15" applyNumberFormat="1" applyFont="1" applyFill="1" applyAlignment="1">
      <alignment horizontal="center"/>
    </xf>
    <xf numFmtId="9" fontId="0" fillId="0" borderId="0" xfId="19" applyFont="1" applyFill="1" applyAlignment="1">
      <alignment/>
    </xf>
    <xf numFmtId="192" fontId="3" fillId="0" borderId="0" xfId="15" applyNumberFormat="1" applyFont="1" applyAlignment="1">
      <alignment/>
    </xf>
    <xf numFmtId="9" fontId="3" fillId="0" borderId="0" xfId="19" applyFont="1" applyFill="1" applyAlignment="1">
      <alignment/>
    </xf>
    <xf numFmtId="192" fontId="0" fillId="0" borderId="0" xfId="15" applyNumberFormat="1" applyFont="1" applyFill="1" applyAlignment="1">
      <alignment/>
    </xf>
    <xf numFmtId="190" fontId="0" fillId="0" borderId="0" xfId="19" applyNumberFormat="1" applyFont="1" applyFill="1" applyAlignment="1">
      <alignment/>
    </xf>
    <xf numFmtId="9" fontId="0" fillId="0" borderId="0" xfId="19" applyFill="1" applyAlignment="1">
      <alignment/>
    </xf>
    <xf numFmtId="9" fontId="1" fillId="0" borderId="0" xfId="19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9" fontId="2" fillId="0" borderId="0" xfId="19" applyFont="1" applyFill="1" applyAlignment="1">
      <alignment horizontal="right"/>
    </xf>
    <xf numFmtId="0" fontId="2" fillId="0" borderId="0" xfId="0" applyFont="1" applyAlignment="1">
      <alignment horizontal="right"/>
    </xf>
    <xf numFmtId="192" fontId="2" fillId="0" borderId="0" xfId="15" applyNumberFormat="1" applyFont="1" applyFill="1" applyAlignment="1">
      <alignment horizontal="right"/>
    </xf>
    <xf numFmtId="192" fontId="3" fillId="0" borderId="0" xfId="15" applyNumberFormat="1" applyFont="1" applyFill="1" applyAlignment="1">
      <alignment horizontal="right"/>
    </xf>
    <xf numFmtId="1" fontId="0" fillId="0" borderId="0" xfId="0" applyNumberFormat="1" applyAlignment="1">
      <alignment/>
    </xf>
    <xf numFmtId="187" fontId="3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192" fontId="9" fillId="0" borderId="0" xfId="15" applyNumberFormat="1" applyFont="1" applyAlignment="1">
      <alignment/>
    </xf>
    <xf numFmtId="9" fontId="1" fillId="0" borderId="0" xfId="19" applyFont="1" applyAlignment="1">
      <alignment/>
    </xf>
    <xf numFmtId="9" fontId="9" fillId="0" borderId="0" xfId="19" applyFont="1" applyAlignment="1">
      <alignment/>
    </xf>
    <xf numFmtId="0" fontId="10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workbookViewId="0" topLeftCell="A13">
      <selection activeCell="D5" sqref="D5"/>
    </sheetView>
  </sheetViews>
  <sheetFormatPr defaultColWidth="9.140625" defaultRowHeight="21.75"/>
  <cols>
    <col min="2" max="2" width="19.421875" style="0" customWidth="1"/>
    <col min="3" max="3" width="10.7109375" style="0" customWidth="1"/>
  </cols>
  <sheetData>
    <row r="1" spans="2:3" ht="21.75">
      <c r="B1" s="53" t="s">
        <v>0</v>
      </c>
      <c r="C1" s="1"/>
    </row>
    <row r="3" spans="2:6" ht="21.75">
      <c r="B3" s="32"/>
      <c r="C3" s="32">
        <v>2001</v>
      </c>
      <c r="D3" s="36" t="s">
        <v>12</v>
      </c>
      <c r="E3" s="2"/>
      <c r="F3" s="1"/>
    </row>
    <row r="4" ht="21.75">
      <c r="B4" s="1" t="s">
        <v>4</v>
      </c>
    </row>
    <row r="5" spans="2:4" ht="21.75">
      <c r="B5" t="s">
        <v>1</v>
      </c>
      <c r="C5" s="4">
        <v>1500</v>
      </c>
      <c r="D5" s="4">
        <f>sales!E3</f>
        <v>1650.0000000000002</v>
      </c>
    </row>
    <row r="6" spans="2:4" ht="21.75">
      <c r="B6" s="39" t="s">
        <v>2</v>
      </c>
      <c r="C6" s="40">
        <f>C5*0.8</f>
        <v>1200</v>
      </c>
      <c r="D6" s="40">
        <f>cogs!F5</f>
        <v>1650.0000000000002</v>
      </c>
    </row>
    <row r="7" spans="2:5" ht="21.75">
      <c r="B7" s="1" t="s">
        <v>3</v>
      </c>
      <c r="C7" s="6">
        <f>C5-C6</f>
        <v>300</v>
      </c>
      <c r="D7" s="6">
        <f>D5-D6</f>
        <v>0</v>
      </c>
      <c r="E7" s="1"/>
    </row>
    <row r="8" spans="2:4" ht="21.75">
      <c r="B8" t="s">
        <v>163</v>
      </c>
      <c r="C8" s="4">
        <v>70</v>
      </c>
      <c r="D8" s="4">
        <f>'SG&amp;A'!D8</f>
        <v>0</v>
      </c>
    </row>
    <row r="9" spans="2:4" ht="21.75">
      <c r="B9" s="39" t="s">
        <v>87</v>
      </c>
      <c r="C9" s="40">
        <v>30</v>
      </c>
      <c r="D9" s="40">
        <v>0</v>
      </c>
    </row>
    <row r="10" spans="2:5" ht="21.75">
      <c r="B10" s="1" t="s">
        <v>6</v>
      </c>
      <c r="C10" s="6">
        <f>C7-C8-C9</f>
        <v>200</v>
      </c>
      <c r="D10" s="6">
        <f>D7-D8-D9</f>
        <v>0</v>
      </c>
      <c r="E10" s="1"/>
    </row>
    <row r="11" spans="2:5" ht="21.75">
      <c r="B11" s="41" t="s">
        <v>86</v>
      </c>
      <c r="C11" s="42">
        <f>C10+C9</f>
        <v>230</v>
      </c>
      <c r="D11" s="42">
        <f>D10+D9</f>
        <v>0</v>
      </c>
      <c r="E11" s="1"/>
    </row>
    <row r="12" spans="2:4" ht="21.75">
      <c r="B12" s="43" t="s">
        <v>7</v>
      </c>
      <c r="C12" s="44">
        <v>10</v>
      </c>
      <c r="D12" s="44">
        <f>'SG&amp;A'!D11</f>
        <v>0</v>
      </c>
    </row>
    <row r="13" spans="2:4" ht="21.75">
      <c r="B13" s="1" t="s">
        <v>31</v>
      </c>
      <c r="C13" s="4">
        <f>C10-C12</f>
        <v>190</v>
      </c>
      <c r="D13" s="4">
        <f>D10-D12</f>
        <v>0</v>
      </c>
    </row>
    <row r="14" spans="2:4" ht="21.75">
      <c r="B14" t="s">
        <v>8</v>
      </c>
      <c r="C14" s="4">
        <f>C13*0.3</f>
        <v>57</v>
      </c>
      <c r="D14" s="4">
        <f>'SG&amp;A'!D13</f>
        <v>-12</v>
      </c>
    </row>
    <row r="15" spans="2:5" ht="22.5" thickBot="1">
      <c r="B15" s="37" t="s">
        <v>9</v>
      </c>
      <c r="C15" s="38">
        <f>C13-C14</f>
        <v>133</v>
      </c>
      <c r="D15" s="38">
        <f>D13-D14</f>
        <v>12</v>
      </c>
      <c r="E15" s="1"/>
    </row>
    <row r="16" spans="2:4" ht="22.5" thickTop="1">
      <c r="B16" t="s">
        <v>11</v>
      </c>
      <c r="C16" s="4">
        <v>100</v>
      </c>
      <c r="D16" s="4">
        <v>100</v>
      </c>
    </row>
    <row r="17" spans="2:4" ht="21.75">
      <c r="B17" s="1" t="s">
        <v>10</v>
      </c>
      <c r="C17" s="9">
        <f>C15/C16</f>
        <v>1.33</v>
      </c>
      <c r="D17" s="9">
        <f>D15/D16</f>
        <v>0.12</v>
      </c>
    </row>
    <row r="18" spans="2:5" ht="21.75">
      <c r="B18" s="5" t="s">
        <v>95</v>
      </c>
      <c r="C18" s="9"/>
      <c r="D18" s="9">
        <f>D17*0.2</f>
        <v>0.024</v>
      </c>
      <c r="E18" t="s">
        <v>96</v>
      </c>
    </row>
    <row r="20" spans="2:4" ht="21.75">
      <c r="B20" t="s">
        <v>32</v>
      </c>
      <c r="C20" s="8">
        <f>C7/C5</f>
        <v>0.2</v>
      </c>
      <c r="D20" s="8">
        <f>D7/D5</f>
        <v>0</v>
      </c>
    </row>
    <row r="21" spans="2:4" ht="21.75">
      <c r="B21" t="s">
        <v>33</v>
      </c>
      <c r="C21" s="8">
        <f>C10/C5</f>
        <v>0.13333333333333333</v>
      </c>
      <c r="D21" s="8">
        <f>D10/D5</f>
        <v>0</v>
      </c>
    </row>
    <row r="22" spans="2:4" ht="21.75">
      <c r="B22" t="s">
        <v>131</v>
      </c>
      <c r="C22" s="8">
        <f>C11/C5</f>
        <v>0.15333333333333332</v>
      </c>
      <c r="D22" s="8">
        <f>D11/D5</f>
        <v>0</v>
      </c>
    </row>
    <row r="23" spans="2:4" ht="21.75">
      <c r="B23" t="s">
        <v>34</v>
      </c>
      <c r="C23" s="8">
        <f>C15/C5</f>
        <v>0.08866666666666667</v>
      </c>
      <c r="D23" s="8">
        <f>D15/D5</f>
        <v>0.007272727272727272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2"/>
  <sheetViews>
    <sheetView workbookViewId="0" topLeftCell="A4">
      <selection activeCell="H11" sqref="H11"/>
    </sheetView>
  </sheetViews>
  <sheetFormatPr defaultColWidth="9.140625" defaultRowHeight="21.75"/>
  <cols>
    <col min="2" max="2" width="14.8515625" style="0" customWidth="1"/>
    <col min="3" max="3" width="10.28125" style="0" customWidth="1"/>
    <col min="4" max="4" width="10.00390625" style="0" bestFit="1" customWidth="1"/>
  </cols>
  <sheetData>
    <row r="2" spans="4:5" ht="21.75">
      <c r="D2" s="2">
        <f>'P&amp;L'!C3</f>
        <v>2001</v>
      </c>
      <c r="E2" s="2" t="str">
        <f>'P&amp;L'!D3</f>
        <v>2002E</v>
      </c>
    </row>
    <row r="3" spans="3:5" ht="21.75">
      <c r="C3" s="45" t="s">
        <v>1</v>
      </c>
      <c r="D3" s="47">
        <f>'P&amp;L'!C5</f>
        <v>1500</v>
      </c>
      <c r="E3" s="48">
        <f>D3*(1+E5)</f>
        <v>1650.0000000000002</v>
      </c>
    </row>
    <row r="5" spans="1:5" ht="21.75">
      <c r="A5" s="71" t="s">
        <v>37</v>
      </c>
      <c r="B5" s="72"/>
      <c r="C5" t="s">
        <v>36</v>
      </c>
      <c r="E5" s="13">
        <v>0.1</v>
      </c>
    </row>
    <row r="7" spans="1:3" ht="21.75">
      <c r="A7" s="71" t="s">
        <v>38</v>
      </c>
      <c r="B7" s="72"/>
      <c r="C7" s="72"/>
    </row>
    <row r="8" ht="21.75">
      <c r="C8" t="s">
        <v>39</v>
      </c>
    </row>
    <row r="9" ht="21.75">
      <c r="C9" t="s">
        <v>89</v>
      </c>
    </row>
    <row r="10" spans="3:8" ht="21.75">
      <c r="C10" t="s">
        <v>132</v>
      </c>
      <c r="G10" s="15">
        <v>10</v>
      </c>
      <c r="H10" t="s">
        <v>54</v>
      </c>
    </row>
    <row r="11" spans="3:8" ht="21.75">
      <c r="C11" t="s">
        <v>133</v>
      </c>
      <c r="F11" s="15"/>
      <c r="G11" s="15">
        <v>11</v>
      </c>
      <c r="H11" t="s">
        <v>54</v>
      </c>
    </row>
    <row r="12" spans="4:5" ht="21.75">
      <c r="D12" s="2">
        <v>2001</v>
      </c>
      <c r="E12" s="2" t="s">
        <v>12</v>
      </c>
    </row>
    <row r="13" spans="3:5" ht="21.75">
      <c r="C13" s="45" t="s">
        <v>1</v>
      </c>
      <c r="D13" s="47">
        <f>'P&amp;L'!C5</f>
        <v>1500</v>
      </c>
      <c r="E13" s="48">
        <f>D13*(1+E15)</f>
        <v>1665.0000000000002</v>
      </c>
    </row>
    <row r="15" spans="3:5" ht="21.75">
      <c r="C15" t="s">
        <v>36</v>
      </c>
      <c r="E15" s="13">
        <f>G11/100</f>
        <v>0.11</v>
      </c>
    </row>
    <row r="17" spans="1:6" ht="21.75">
      <c r="A17" s="71" t="s">
        <v>40</v>
      </c>
      <c r="B17" s="72"/>
      <c r="C17" s="72"/>
      <c r="E17" t="s">
        <v>164</v>
      </c>
      <c r="F17" t="s">
        <v>165</v>
      </c>
    </row>
    <row r="18" ht="21.75">
      <c r="C18" s="1" t="s">
        <v>42</v>
      </c>
    </row>
    <row r="19" ht="21.75">
      <c r="C19" t="s">
        <v>41</v>
      </c>
    </row>
    <row r="20" spans="2:4" ht="21.75">
      <c r="B20" t="s">
        <v>42</v>
      </c>
      <c r="D20" s="16">
        <f>D13/2</f>
        <v>750</v>
      </c>
    </row>
    <row r="21" spans="2:8" ht="21.75">
      <c r="B21" t="s">
        <v>43</v>
      </c>
      <c r="D21" s="15">
        <v>2</v>
      </c>
      <c r="F21" t="s">
        <v>121</v>
      </c>
      <c r="H21">
        <v>300</v>
      </c>
    </row>
    <row r="22" spans="4:5" ht="21.75">
      <c r="D22" s="2">
        <v>2001</v>
      </c>
      <c r="E22" s="2" t="s">
        <v>12</v>
      </c>
    </row>
    <row r="23" spans="3:5" ht="21.75">
      <c r="C23" s="45" t="s">
        <v>1</v>
      </c>
      <c r="D23" s="47">
        <f>D13</f>
        <v>1500</v>
      </c>
      <c r="E23" s="48">
        <f>D23+(D21*D20)</f>
        <v>3000</v>
      </c>
    </row>
    <row r="24" spans="3:5" ht="21.75">
      <c r="C24" s="77"/>
      <c r="D24" s="84"/>
      <c r="E24" s="85"/>
    </row>
    <row r="25" spans="1:5" ht="21.75">
      <c r="A25" s="71" t="s">
        <v>122</v>
      </c>
      <c r="B25" s="72"/>
      <c r="C25" s="72"/>
      <c r="D25" s="84"/>
      <c r="E25" s="85" t="s">
        <v>166</v>
      </c>
    </row>
    <row r="26" spans="3:5" ht="21.75">
      <c r="C26" s="77"/>
      <c r="D26" s="84"/>
      <c r="E26" s="85"/>
    </row>
    <row r="27" spans="4:5" ht="21.75">
      <c r="D27" s="2">
        <v>2001</v>
      </c>
      <c r="E27" s="2" t="s">
        <v>12</v>
      </c>
    </row>
    <row r="28" spans="3:5" ht="21.75">
      <c r="C28" s="45" t="s">
        <v>1</v>
      </c>
      <c r="D28" s="47">
        <f>'P&amp;L'!C5</f>
        <v>1500</v>
      </c>
      <c r="E28" s="48">
        <f>G30+G31</f>
        <v>1600</v>
      </c>
    </row>
    <row r="29" spans="5:8" ht="21.75">
      <c r="E29" s="86" t="s">
        <v>125</v>
      </c>
      <c r="F29" s="17" t="s">
        <v>126</v>
      </c>
      <c r="G29" s="1" t="s">
        <v>12</v>
      </c>
      <c r="H29" s="86" t="s">
        <v>125</v>
      </c>
    </row>
    <row r="30" spans="3:8" ht="21.75">
      <c r="C30" s="77" t="s">
        <v>123</v>
      </c>
      <c r="D30" s="84">
        <v>500</v>
      </c>
      <c r="E30" s="87">
        <f>D30/$D$28</f>
        <v>0.3333333333333333</v>
      </c>
      <c r="F30" s="18">
        <v>0.1</v>
      </c>
      <c r="G30" s="88">
        <f>D30*(1+F30)</f>
        <v>550</v>
      </c>
      <c r="H30" s="89">
        <f>G30/$E$28</f>
        <v>0.34375</v>
      </c>
    </row>
    <row r="31" spans="3:8" ht="21.75">
      <c r="C31" s="77" t="s">
        <v>124</v>
      </c>
      <c r="D31" s="84">
        <v>1000</v>
      </c>
      <c r="E31" s="87">
        <f>D31/$D$28</f>
        <v>0.6666666666666666</v>
      </c>
      <c r="F31" s="18">
        <v>0.05</v>
      </c>
      <c r="G31" s="88">
        <f>D31*(1+F31)</f>
        <v>1050</v>
      </c>
      <c r="H31" s="89">
        <f>G31/$E$28</f>
        <v>0.65625</v>
      </c>
    </row>
    <row r="32" spans="3:5" ht="21.75">
      <c r="C32" s="77"/>
      <c r="D32" s="84"/>
      <c r="E32" s="85"/>
    </row>
    <row r="34" spans="1:6" ht="21.75">
      <c r="A34" s="71" t="s">
        <v>106</v>
      </c>
      <c r="B34" s="72"/>
      <c r="C34" s="72"/>
      <c r="D34" s="72"/>
      <c r="F34" t="s">
        <v>167</v>
      </c>
    </row>
    <row r="35" ht="21.75">
      <c r="B35" t="s">
        <v>88</v>
      </c>
    </row>
    <row r="36" spans="2:5" ht="21.75">
      <c r="B36" s="1" t="s">
        <v>105</v>
      </c>
      <c r="D36" s="1">
        <v>2001</v>
      </c>
      <c r="E36" s="1">
        <v>2002</v>
      </c>
    </row>
    <row r="37" spans="3:5" ht="21.75">
      <c r="C37" t="s">
        <v>46</v>
      </c>
      <c r="D37">
        <v>1</v>
      </c>
      <c r="E37" s="17">
        <v>2</v>
      </c>
    </row>
    <row r="38" ht="21.75">
      <c r="B38" s="1" t="s">
        <v>104</v>
      </c>
    </row>
    <row r="39" ht="21.75">
      <c r="B39" t="s">
        <v>44</v>
      </c>
    </row>
    <row r="40" spans="2:5" ht="21.75">
      <c r="B40" t="s">
        <v>45</v>
      </c>
      <c r="D40" s="7">
        <f>D41/2000</f>
        <v>0.75</v>
      </c>
      <c r="E40" s="18">
        <v>0.9</v>
      </c>
    </row>
    <row r="41" spans="2:5" ht="21.75">
      <c r="B41" t="s">
        <v>57</v>
      </c>
      <c r="D41" s="10">
        <f>'P&amp;L'!C5</f>
        <v>1500</v>
      </c>
      <c r="E41" s="10">
        <v>1800</v>
      </c>
    </row>
    <row r="42" spans="2:5" ht="21.75">
      <c r="B42" s="32" t="s">
        <v>47</v>
      </c>
      <c r="C42" s="45"/>
      <c r="D42" s="46">
        <f>D41*D37</f>
        <v>1500</v>
      </c>
      <c r="E42" s="46">
        <f>E37*E41</f>
        <v>3600</v>
      </c>
    </row>
    <row r="44" spans="1:4" ht="21.75">
      <c r="A44" s="71" t="s">
        <v>134</v>
      </c>
      <c r="B44" s="72"/>
      <c r="C44" s="72"/>
      <c r="D44" s="72"/>
    </row>
    <row r="46" spans="2:5" ht="21.75">
      <c r="B46" s="60" t="s">
        <v>135</v>
      </c>
      <c r="D46" s="2">
        <v>2001</v>
      </c>
      <c r="E46" s="2" t="s">
        <v>12</v>
      </c>
    </row>
    <row r="47" spans="2:5" ht="21.75">
      <c r="B47" s="77" t="s">
        <v>137</v>
      </c>
      <c r="D47">
        <v>45</v>
      </c>
      <c r="E47" s="15">
        <v>50</v>
      </c>
    </row>
    <row r="48" spans="3:4" ht="21.75">
      <c r="C48" s="2">
        <v>2001</v>
      </c>
      <c r="D48" s="2" t="s">
        <v>12</v>
      </c>
    </row>
    <row r="49" spans="2:4" ht="21.75">
      <c r="B49" s="1" t="s">
        <v>136</v>
      </c>
      <c r="C49" s="11">
        <f>'P&amp;L'!C5</f>
        <v>1500</v>
      </c>
      <c r="D49" s="103">
        <f>(E47*D51)+D53</f>
        <v>1666.6666666666667</v>
      </c>
    </row>
    <row r="50" spans="2:4" ht="21.75">
      <c r="B50" t="s">
        <v>139</v>
      </c>
      <c r="C50" s="7">
        <v>1</v>
      </c>
      <c r="D50" s="18">
        <v>0.5</v>
      </c>
    </row>
    <row r="51" spans="2:4" ht="21.75">
      <c r="B51" t="s">
        <v>138</v>
      </c>
      <c r="C51" s="3">
        <f>(C49*C50)/D47</f>
        <v>33.333333333333336</v>
      </c>
      <c r="D51" s="102">
        <f>C51*(1+D52)</f>
        <v>33.333333333333336</v>
      </c>
    </row>
    <row r="52" spans="2:4" ht="21.75">
      <c r="B52" t="s">
        <v>126</v>
      </c>
      <c r="D52" s="13">
        <v>0</v>
      </c>
    </row>
    <row r="53" spans="2:4" ht="21.75">
      <c r="B53" t="s">
        <v>136</v>
      </c>
      <c r="C53" s="100">
        <f>(C49*(1-C50))</f>
        <v>0</v>
      </c>
      <c r="D53" s="100">
        <f>C53*(1+D54)</f>
        <v>0</v>
      </c>
    </row>
    <row r="54" spans="2:4" ht="21.75">
      <c r="B54" t="s">
        <v>126</v>
      </c>
      <c r="D54" s="13">
        <v>0</v>
      </c>
    </row>
    <row r="55" ht="21.75">
      <c r="D55" s="13"/>
    </row>
    <row r="56" spans="3:4" ht="21.75">
      <c r="C56" s="2">
        <f>C48</f>
        <v>2001</v>
      </c>
      <c r="D56" s="2" t="str">
        <f>D48</f>
        <v>2002E</v>
      </c>
    </row>
    <row r="57" spans="2:4" ht="21.75">
      <c r="B57" s="1" t="s">
        <v>140</v>
      </c>
      <c r="C57" s="11">
        <f>'P&amp;L'!C6</f>
        <v>1200</v>
      </c>
      <c r="D57" s="103">
        <f>($E$47*D59)+D61</f>
        <v>1266.6666666666667</v>
      </c>
    </row>
    <row r="58" spans="2:4" ht="21.75">
      <c r="B58" t="s">
        <v>141</v>
      </c>
      <c r="C58" s="7">
        <v>0.5</v>
      </c>
      <c r="D58" s="13">
        <f>(D59*$E$47)/D57</f>
        <v>0.5263157894736843</v>
      </c>
    </row>
    <row r="59" spans="2:4" ht="21.75">
      <c r="B59" t="s">
        <v>142</v>
      </c>
      <c r="C59" s="3">
        <f>(C57*C58)/$D$47</f>
        <v>13.333333333333334</v>
      </c>
      <c r="D59" s="101">
        <f>C59*(1+D60)</f>
        <v>13.333333333333334</v>
      </c>
    </row>
    <row r="60" spans="2:4" ht="21.75">
      <c r="B60" t="s">
        <v>126</v>
      </c>
      <c r="D60" s="13">
        <v>0</v>
      </c>
    </row>
    <row r="61" spans="2:4" ht="21.75">
      <c r="B61" t="s">
        <v>143</v>
      </c>
      <c r="C61" s="100">
        <f>(C57*(1-C58))</f>
        <v>600</v>
      </c>
      <c r="D61" s="100">
        <f>C61*(1+D62)</f>
        <v>600</v>
      </c>
    </row>
    <row r="62" spans="2:4" ht="21.75">
      <c r="B62" t="s">
        <v>126</v>
      </c>
      <c r="D62" s="13">
        <v>0</v>
      </c>
    </row>
    <row r="64" spans="2:4" ht="21.75">
      <c r="B64" s="1" t="s">
        <v>127</v>
      </c>
      <c r="C64" s="104">
        <f>1-(C57/C49)</f>
        <v>0.19999999999999996</v>
      </c>
      <c r="D64" s="105">
        <f>1-(D57/D49)</f>
        <v>0.24</v>
      </c>
    </row>
    <row r="66" ht="21.75">
      <c r="B66" s="60" t="s">
        <v>144</v>
      </c>
    </row>
    <row r="67" spans="4:5" ht="21.75">
      <c r="D67" s="2">
        <v>2001</v>
      </c>
      <c r="E67" s="2" t="s">
        <v>12</v>
      </c>
    </row>
    <row r="68" spans="2:5" ht="21.75">
      <c r="B68" t="s">
        <v>168</v>
      </c>
      <c r="D68" s="10">
        <v>1000</v>
      </c>
      <c r="E68" s="14">
        <f>E70+E71</f>
        <v>1050</v>
      </c>
    </row>
    <row r="69" spans="2:5" ht="21.75">
      <c r="B69" t="s">
        <v>145</v>
      </c>
      <c r="D69">
        <v>10</v>
      </c>
      <c r="E69" s="106">
        <v>10</v>
      </c>
    </row>
    <row r="70" spans="2:5" ht="21.75">
      <c r="B70" t="s">
        <v>146</v>
      </c>
      <c r="D70">
        <f>D69*D47</f>
        <v>450</v>
      </c>
      <c r="E70">
        <f>E69*E47</f>
        <v>500</v>
      </c>
    </row>
    <row r="71" spans="2:5" ht="21.75">
      <c r="B71" t="s">
        <v>147</v>
      </c>
      <c r="D71" s="14">
        <f>D68-D70</f>
        <v>550</v>
      </c>
      <c r="E71" s="14">
        <f>D71</f>
        <v>550</v>
      </c>
    </row>
    <row r="72" spans="2:5" ht="21.75">
      <c r="B72" t="s">
        <v>148</v>
      </c>
      <c r="E72" s="17">
        <f>D70-E70</f>
        <v>-50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20">
      <selection activeCell="E22" sqref="E22"/>
    </sheetView>
  </sheetViews>
  <sheetFormatPr defaultColWidth="9.140625" defaultRowHeight="21.75"/>
  <cols>
    <col min="3" max="3" width="14.8515625" style="0" customWidth="1"/>
    <col min="6" max="6" width="11.421875" style="0" customWidth="1"/>
    <col min="8" max="8" width="9.421875" style="0" bestFit="1" customWidth="1"/>
  </cols>
  <sheetData>
    <row r="2" spans="3:6" ht="21.75">
      <c r="C2" s="32"/>
      <c r="D2" s="45"/>
      <c r="E2" s="32">
        <v>2001</v>
      </c>
      <c r="F2" s="36" t="s">
        <v>12</v>
      </c>
    </row>
    <row r="3" ht="21.75">
      <c r="C3" s="1" t="s">
        <v>4</v>
      </c>
    </row>
    <row r="4" spans="3:6" ht="21.75">
      <c r="C4" t="s">
        <v>1</v>
      </c>
      <c r="E4" s="4">
        <f>'P&amp;L'!C5</f>
        <v>1500</v>
      </c>
      <c r="F4" s="10">
        <f>sales!E3</f>
        <v>1650.0000000000002</v>
      </c>
    </row>
    <row r="5" spans="3:6" ht="21.75">
      <c r="C5" s="45" t="s">
        <v>2</v>
      </c>
      <c r="D5" s="45"/>
      <c r="E5" s="49">
        <f>'P&amp;L'!C6</f>
        <v>1200</v>
      </c>
      <c r="F5" s="73">
        <f>F4*(1-F7)</f>
        <v>1650.0000000000002</v>
      </c>
    </row>
    <row r="6" spans="3:6" ht="21.75">
      <c r="C6" s="1" t="s">
        <v>3</v>
      </c>
      <c r="E6" s="6">
        <f>E4-E5</f>
        <v>300</v>
      </c>
      <c r="F6" s="6">
        <f>F4-F5</f>
        <v>0</v>
      </c>
    </row>
    <row r="7" spans="1:6" ht="21.75">
      <c r="A7" s="71" t="s">
        <v>49</v>
      </c>
      <c r="B7" s="72"/>
      <c r="C7" t="s">
        <v>48</v>
      </c>
      <c r="E7" s="8">
        <f>E6/E4</f>
        <v>0.2</v>
      </c>
      <c r="F7" s="18">
        <v>0</v>
      </c>
    </row>
    <row r="8" spans="1:6" ht="21.75">
      <c r="A8" s="76"/>
      <c r="B8" s="77"/>
      <c r="E8" s="8"/>
      <c r="F8" s="18"/>
    </row>
    <row r="9" spans="1:6" ht="21.75">
      <c r="A9" s="71" t="s">
        <v>122</v>
      </c>
      <c r="B9" s="72"/>
      <c r="C9" s="32"/>
      <c r="D9" s="45"/>
      <c r="E9" s="32">
        <v>2001</v>
      </c>
      <c r="F9" s="36" t="s">
        <v>12</v>
      </c>
    </row>
    <row r="10" spans="1:6" ht="21.75">
      <c r="A10" s="76"/>
      <c r="B10" s="77"/>
      <c r="C10" s="76"/>
      <c r="D10" s="77" t="s">
        <v>1</v>
      </c>
      <c r="E10" s="90">
        <f>'P&amp;L'!C5</f>
        <v>1500</v>
      </c>
      <c r="F10" s="98">
        <f>sales!E28</f>
        <v>1600</v>
      </c>
    </row>
    <row r="11" spans="1:6" ht="21.75">
      <c r="A11" s="76"/>
      <c r="B11" s="77"/>
      <c r="C11" s="76"/>
      <c r="D11" s="77" t="s">
        <v>2</v>
      </c>
      <c r="E11" s="90">
        <f>'P&amp;L'!C6</f>
        <v>1200</v>
      </c>
      <c r="F11" s="99">
        <f>G17+G18</f>
        <v>1282.5</v>
      </c>
    </row>
    <row r="12" spans="1:6" ht="21.75">
      <c r="A12" s="76"/>
      <c r="B12" s="77"/>
      <c r="C12" s="76"/>
      <c r="D12" s="77" t="s">
        <v>127</v>
      </c>
      <c r="E12" s="91">
        <f>(E10-E11)/E10</f>
        <v>0.2</v>
      </c>
      <c r="F12" s="91">
        <f>(F10-F11)/F10</f>
        <v>0.1984375</v>
      </c>
    </row>
    <row r="13" spans="1:7" ht="21.75">
      <c r="A13" s="76"/>
      <c r="B13" s="77"/>
      <c r="E13" s="86" t="s">
        <v>125</v>
      </c>
      <c r="F13" s="2" t="s">
        <v>12</v>
      </c>
      <c r="G13" s="86" t="s">
        <v>125</v>
      </c>
    </row>
    <row r="14" spans="1:7" ht="21.75">
      <c r="A14" s="76"/>
      <c r="B14" s="77"/>
      <c r="C14" s="77" t="s">
        <v>123</v>
      </c>
      <c r="D14" s="84">
        <v>500</v>
      </c>
      <c r="E14" s="87">
        <f>D14/$E$10</f>
        <v>0.3333333333333333</v>
      </c>
      <c r="F14" s="88">
        <f>sales!G30</f>
        <v>550</v>
      </c>
      <c r="G14" s="89">
        <f>F14/$F$10</f>
        <v>0.34375</v>
      </c>
    </row>
    <row r="15" spans="1:7" ht="21.75">
      <c r="A15" s="76"/>
      <c r="B15" s="77"/>
      <c r="C15" s="77" t="s">
        <v>124</v>
      </c>
      <c r="D15" s="84">
        <v>1000</v>
      </c>
      <c r="E15" s="87">
        <f>D15/$E$10</f>
        <v>0.6666666666666666</v>
      </c>
      <c r="F15" s="88">
        <f>sales!G31</f>
        <v>1050</v>
      </c>
      <c r="G15" s="89">
        <f>F15/$F$10</f>
        <v>0.65625</v>
      </c>
    </row>
    <row r="16" spans="1:7" ht="21.75">
      <c r="A16" s="76"/>
      <c r="B16" s="77"/>
      <c r="C16" s="77"/>
      <c r="D16" s="84"/>
      <c r="E16" s="93" t="s">
        <v>2</v>
      </c>
      <c r="F16" s="95" t="s">
        <v>130</v>
      </c>
      <c r="G16" s="94" t="s">
        <v>2</v>
      </c>
    </row>
    <row r="17" spans="1:7" ht="21.75">
      <c r="A17" s="76"/>
      <c r="B17" s="77"/>
      <c r="C17" s="79" t="s">
        <v>128</v>
      </c>
      <c r="D17" s="92">
        <v>0.1</v>
      </c>
      <c r="E17" s="79">
        <f>D14*(1-D17)</f>
        <v>450</v>
      </c>
      <c r="F17" s="96">
        <v>0.1</v>
      </c>
      <c r="G17" s="97">
        <f>F14*(1-F17)</f>
        <v>495</v>
      </c>
    </row>
    <row r="18" spans="1:7" ht="21.75">
      <c r="A18" s="76"/>
      <c r="B18" s="77"/>
      <c r="C18" s="79" t="s">
        <v>129</v>
      </c>
      <c r="D18" s="92">
        <v>0.25</v>
      </c>
      <c r="E18" s="79">
        <f>D15*(1-D18)</f>
        <v>750</v>
      </c>
      <c r="F18" s="96">
        <v>0.25</v>
      </c>
      <c r="G18" s="97">
        <f>F15*(1-F18)</f>
        <v>787.5</v>
      </c>
    </row>
    <row r="19" spans="1:6" ht="21.75">
      <c r="A19" s="76"/>
      <c r="B19" s="77"/>
      <c r="C19" s="76"/>
      <c r="D19" s="77"/>
      <c r="E19" s="76"/>
      <c r="F19" s="78"/>
    </row>
    <row r="21" spans="1:8" ht="21.75">
      <c r="A21" s="71" t="s">
        <v>50</v>
      </c>
      <c r="B21" s="72"/>
      <c r="D21" s="19" t="s">
        <v>54</v>
      </c>
      <c r="E21" s="19"/>
      <c r="F21" t="s">
        <v>58</v>
      </c>
      <c r="G21" t="s">
        <v>36</v>
      </c>
      <c r="H21" t="s">
        <v>59</v>
      </c>
    </row>
    <row r="22" spans="3:8" ht="21.75">
      <c r="C22" t="s">
        <v>51</v>
      </c>
      <c r="D22" s="7">
        <v>0.6</v>
      </c>
      <c r="E22" s="22">
        <f>$E$25*D22</f>
        <v>720</v>
      </c>
      <c r="F22">
        <f>E22/E26</f>
        <v>0.48</v>
      </c>
      <c r="G22" s="18">
        <v>0.05</v>
      </c>
      <c r="H22" s="23">
        <f>F22*(1+G22)</f>
        <v>0.504</v>
      </c>
    </row>
    <row r="23" spans="3:8" ht="21.75">
      <c r="C23" t="s">
        <v>52</v>
      </c>
      <c r="D23" s="7">
        <v>0.2</v>
      </c>
      <c r="E23" s="22">
        <f>$E$25*D23</f>
        <v>240</v>
      </c>
      <c r="F23">
        <f>E23/E26</f>
        <v>0.16</v>
      </c>
      <c r="G23" s="18">
        <v>0</v>
      </c>
      <c r="H23" s="23">
        <f>F23*(1+G23)</f>
        <v>0.16</v>
      </c>
    </row>
    <row r="24" spans="3:8" ht="21.75">
      <c r="C24" t="s">
        <v>53</v>
      </c>
      <c r="D24" s="7">
        <v>0.2</v>
      </c>
      <c r="E24" s="22">
        <f>$E$25*D24</f>
        <v>240</v>
      </c>
      <c r="F24">
        <f>E24/E26</f>
        <v>0.16</v>
      </c>
      <c r="G24" s="18">
        <v>0</v>
      </c>
      <c r="H24" s="23">
        <f>F24*(1+G24)</f>
        <v>0.16</v>
      </c>
    </row>
    <row r="25" spans="3:9" ht="21.75">
      <c r="C25" t="s">
        <v>2</v>
      </c>
      <c r="D25" s="20" t="s">
        <v>55</v>
      </c>
      <c r="E25" s="21">
        <f>E5</f>
        <v>1200</v>
      </c>
      <c r="F25" s="23">
        <f>F22+F23+F24</f>
        <v>0.8</v>
      </c>
      <c r="G25" t="s">
        <v>61</v>
      </c>
      <c r="H25" s="23">
        <f>SUM(H22:H24)</f>
        <v>0.8240000000000001</v>
      </c>
      <c r="I25" s="14">
        <f>H25*I26</f>
        <v>1483.2</v>
      </c>
    </row>
    <row r="26" spans="3:9" ht="21.75">
      <c r="C26" t="s">
        <v>56</v>
      </c>
      <c r="E26" s="4">
        <f>sales!D41</f>
        <v>1500</v>
      </c>
      <c r="F26" s="4"/>
      <c r="G26" t="s">
        <v>60</v>
      </c>
      <c r="I26" s="4">
        <f>sales!E41</f>
        <v>1800</v>
      </c>
    </row>
    <row r="28" spans="3:6" ht="21.75">
      <c r="C28" s="1"/>
      <c r="E28" s="1">
        <v>2001</v>
      </c>
      <c r="F28" s="2" t="s">
        <v>12</v>
      </c>
    </row>
    <row r="29" ht="21.75">
      <c r="C29" t="s">
        <v>4</v>
      </c>
    </row>
    <row r="30" spans="3:6" ht="21.75">
      <c r="C30" t="s">
        <v>1</v>
      </c>
      <c r="E30" s="4">
        <f>E4</f>
        <v>1500</v>
      </c>
      <c r="F30" s="10">
        <f>sales!E42</f>
        <v>3600</v>
      </c>
    </row>
    <row r="31" spans="3:6" ht="21.75">
      <c r="C31" s="45" t="s">
        <v>2</v>
      </c>
      <c r="D31" s="45"/>
      <c r="E31" s="49">
        <f>E5</f>
        <v>1200</v>
      </c>
      <c r="F31" s="50">
        <f>I25</f>
        <v>1483.2</v>
      </c>
    </row>
    <row r="32" spans="3:6" ht="21.75">
      <c r="C32" t="s">
        <v>62</v>
      </c>
      <c r="E32" s="7">
        <f>1-(E31/E30)</f>
        <v>0.19999999999999996</v>
      </c>
      <c r="F32" s="18">
        <f>1-(F31/F30)</f>
        <v>0.588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37"/>
  <sheetViews>
    <sheetView workbookViewId="0" topLeftCell="A28">
      <selection activeCell="D34" sqref="D34"/>
    </sheetView>
  </sheetViews>
  <sheetFormatPr defaultColWidth="9.140625" defaultRowHeight="21.75"/>
  <cols>
    <col min="2" max="2" width="11.7109375" style="0" customWidth="1"/>
    <col min="3" max="4" width="10.00390625" style="0" bestFit="1" customWidth="1"/>
  </cols>
  <sheetData>
    <row r="3" spans="2:5" ht="21.75">
      <c r="B3" s="32"/>
      <c r="C3" s="32">
        <v>2001</v>
      </c>
      <c r="D3" s="36" t="s">
        <v>12</v>
      </c>
      <c r="E3" s="2"/>
    </row>
    <row r="4" ht="21.75">
      <c r="B4" s="1" t="s">
        <v>4</v>
      </c>
    </row>
    <row r="5" spans="2:4" ht="21.75">
      <c r="B5" t="s">
        <v>1</v>
      </c>
      <c r="C5" s="4">
        <f>'P&amp;L'!C5</f>
        <v>1500</v>
      </c>
      <c r="D5" s="4">
        <f>'P&amp;L'!D5</f>
        <v>1650.0000000000002</v>
      </c>
    </row>
    <row r="6" spans="2:4" ht="21.75">
      <c r="B6" s="39" t="s">
        <v>2</v>
      </c>
      <c r="C6" s="40">
        <f>'P&amp;L'!C6</f>
        <v>1200</v>
      </c>
      <c r="D6" s="40">
        <f>'P&amp;L'!D6</f>
        <v>1650.0000000000002</v>
      </c>
    </row>
    <row r="7" spans="2:5" ht="21.75">
      <c r="B7" s="1" t="s">
        <v>3</v>
      </c>
      <c r="C7" s="6">
        <f>C5-C6</f>
        <v>300</v>
      </c>
      <c r="D7" s="6">
        <f>'P&amp;L'!D7</f>
        <v>0</v>
      </c>
      <c r="E7" s="1"/>
    </row>
    <row r="8" spans="2:4" ht="21.75">
      <c r="B8" s="74" t="s">
        <v>5</v>
      </c>
      <c r="C8" s="75">
        <v>70</v>
      </c>
      <c r="D8" s="75">
        <f>D5*D16</f>
        <v>0</v>
      </c>
    </row>
    <row r="9" spans="2:4" ht="21.75">
      <c r="B9" s="74" t="s">
        <v>109</v>
      </c>
      <c r="C9" s="75">
        <v>30</v>
      </c>
      <c r="D9" s="75">
        <f>D26</f>
        <v>40</v>
      </c>
    </row>
    <row r="10" spans="2:5" ht="21.75">
      <c r="B10" s="1" t="s">
        <v>6</v>
      </c>
      <c r="C10" s="6">
        <f>C7-C8-C9</f>
        <v>200</v>
      </c>
      <c r="D10" s="6">
        <f>D7-D8-D9</f>
        <v>-40</v>
      </c>
      <c r="E10" s="1"/>
    </row>
    <row r="11" spans="2:4" ht="21.75">
      <c r="B11" s="51" t="s">
        <v>7</v>
      </c>
      <c r="C11" s="52">
        <v>10</v>
      </c>
      <c r="D11" s="52">
        <f>D37</f>
        <v>0</v>
      </c>
    </row>
    <row r="12" spans="2:4" ht="21.75">
      <c r="B12" s="1" t="s">
        <v>31</v>
      </c>
      <c r="C12" s="4">
        <f>C10-C11</f>
        <v>190</v>
      </c>
      <c r="D12" s="4">
        <f>D10-D11</f>
        <v>-40</v>
      </c>
    </row>
    <row r="13" spans="2:4" ht="21.75">
      <c r="B13" t="s">
        <v>70</v>
      </c>
      <c r="C13" s="4">
        <f>C12*0.3</f>
        <v>57</v>
      </c>
      <c r="D13" s="4">
        <f>D12*0.3</f>
        <v>-12</v>
      </c>
    </row>
    <row r="15" spans="1:4" ht="21.75">
      <c r="A15" s="53" t="s">
        <v>5</v>
      </c>
      <c r="B15" s="53" t="s">
        <v>63</v>
      </c>
      <c r="C15" s="54"/>
      <c r="D15" s="54"/>
    </row>
    <row r="16" spans="2:4" ht="21.75">
      <c r="B16" t="s">
        <v>64</v>
      </c>
      <c r="C16" s="7">
        <f>C8/C5</f>
        <v>0.04666666666666667</v>
      </c>
      <c r="D16" s="18">
        <v>0</v>
      </c>
    </row>
    <row r="17" spans="3:4" ht="21.75">
      <c r="C17" s="7"/>
      <c r="D17" s="18"/>
    </row>
    <row r="18" spans="1:4" ht="21.75">
      <c r="A18" s="53" t="s">
        <v>110</v>
      </c>
      <c r="B18" s="53"/>
      <c r="C18" s="54"/>
      <c r="D18" s="54"/>
    </row>
    <row r="19" spans="1:2" s="77" customFormat="1" ht="21.75">
      <c r="A19" s="76"/>
      <c r="B19" s="76"/>
    </row>
    <row r="20" spans="1:4" s="77" customFormat="1" ht="21.75">
      <c r="A20" s="76"/>
      <c r="C20" s="76">
        <v>2001</v>
      </c>
      <c r="D20" s="78" t="s">
        <v>12</v>
      </c>
    </row>
    <row r="21" spans="1:3" s="77" customFormat="1" ht="21.75">
      <c r="A21" s="79" t="s">
        <v>111</v>
      </c>
      <c r="C21" s="79">
        <v>30</v>
      </c>
    </row>
    <row r="22" spans="1:6" s="77" customFormat="1" ht="21.75">
      <c r="A22" s="79" t="s">
        <v>112</v>
      </c>
      <c r="B22" s="76"/>
      <c r="D22" s="77">
        <v>10</v>
      </c>
      <c r="F22" s="77" t="s">
        <v>169</v>
      </c>
    </row>
    <row r="23" spans="1:4" s="77" customFormat="1" ht="21.75">
      <c r="A23" s="76" t="s">
        <v>113</v>
      </c>
      <c r="B23" s="76"/>
      <c r="D23" s="80">
        <v>600</v>
      </c>
    </row>
    <row r="24" spans="1:4" ht="21.75">
      <c r="A24" t="s">
        <v>114</v>
      </c>
      <c r="C24" s="7"/>
      <c r="D24" s="81">
        <v>0</v>
      </c>
    </row>
    <row r="25" spans="1:4" ht="21.75">
      <c r="A25" t="s">
        <v>115</v>
      </c>
      <c r="C25" s="7"/>
      <c r="D25" s="82">
        <v>30</v>
      </c>
    </row>
    <row r="26" spans="1:4" ht="21.75">
      <c r="A26" t="s">
        <v>116</v>
      </c>
      <c r="C26" s="7"/>
      <c r="D26" s="82">
        <f>D22+D25</f>
        <v>40</v>
      </c>
    </row>
    <row r="28" spans="1:4" ht="21.75">
      <c r="A28" s="53" t="s">
        <v>7</v>
      </c>
      <c r="B28" s="53" t="s">
        <v>65</v>
      </c>
      <c r="C28" s="54"/>
      <c r="D28" s="54"/>
    </row>
    <row r="29" spans="2:4" ht="21.75">
      <c r="B29" t="s">
        <v>66</v>
      </c>
      <c r="C29" s="8">
        <f>C11/'BS'!C14</f>
        <v>0.01</v>
      </c>
      <c r="D29" s="24">
        <v>0</v>
      </c>
    </row>
    <row r="30" spans="2:4" ht="21.75">
      <c r="B30" t="s">
        <v>55</v>
      </c>
      <c r="C30" s="1">
        <v>2001</v>
      </c>
      <c r="D30" s="1">
        <v>2002</v>
      </c>
    </row>
    <row r="31" spans="2:4" ht="21.75">
      <c r="B31" t="s">
        <v>68</v>
      </c>
      <c r="C31" s="4">
        <f>'BS'!C14</f>
        <v>1000</v>
      </c>
      <c r="D31" s="4">
        <v>0</v>
      </c>
    </row>
    <row r="32" spans="2:4" ht="21.75">
      <c r="B32" t="s">
        <v>117</v>
      </c>
      <c r="C32" s="4"/>
      <c r="D32" s="4">
        <f>'BS'!D12</f>
        <v>200</v>
      </c>
    </row>
    <row r="33" spans="2:4" ht="21.75">
      <c r="B33" t="s">
        <v>118</v>
      </c>
      <c r="C33" s="4"/>
      <c r="D33" s="4">
        <f>C31-D32</f>
        <v>800</v>
      </c>
    </row>
    <row r="34" spans="2:4" ht="21.75">
      <c r="B34" t="s">
        <v>119</v>
      </c>
      <c r="C34" s="4"/>
      <c r="D34" s="83">
        <v>0</v>
      </c>
    </row>
    <row r="35" spans="2:4" ht="21.75">
      <c r="B35" t="s">
        <v>120</v>
      </c>
      <c r="C35" s="4"/>
      <c r="D35" s="4">
        <f>D33+D34</f>
        <v>800</v>
      </c>
    </row>
    <row r="36" spans="2:4" ht="21.75">
      <c r="B36" t="s">
        <v>71</v>
      </c>
      <c r="C36" s="4">
        <v>0</v>
      </c>
      <c r="D36" s="4">
        <f>'BS'!D10</f>
        <v>0</v>
      </c>
    </row>
    <row r="37" spans="2:4" ht="21.75">
      <c r="B37" s="32" t="s">
        <v>69</v>
      </c>
      <c r="C37" s="32">
        <f>(C31+C36)*C29</f>
        <v>10</v>
      </c>
      <c r="D37" s="32">
        <f>(D35+D36)*D29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39"/>
  <sheetViews>
    <sheetView workbookViewId="0" topLeftCell="A1">
      <selection activeCell="E4" sqref="E4"/>
    </sheetView>
  </sheetViews>
  <sheetFormatPr defaultColWidth="9.140625" defaultRowHeight="21.75"/>
  <cols>
    <col min="2" max="2" width="23.140625" style="0" customWidth="1"/>
    <col min="3" max="3" width="13.421875" style="0" customWidth="1"/>
    <col min="4" max="4" width="12.140625" style="0" customWidth="1"/>
    <col min="6" max="6" width="11.00390625" style="0" customWidth="1"/>
  </cols>
  <sheetData>
    <row r="2" ht="21.75">
      <c r="B2" s="55" t="s">
        <v>0</v>
      </c>
    </row>
    <row r="3" spans="2:4" ht="21.75">
      <c r="B3" s="45"/>
      <c r="C3" s="32">
        <v>2001</v>
      </c>
      <c r="D3" s="36" t="s">
        <v>12</v>
      </c>
    </row>
    <row r="4" spans="2:5" ht="21.75">
      <c r="B4" t="s">
        <v>13</v>
      </c>
      <c r="C4" s="10">
        <f>(C15+C18)-(C8+C6+C5)</f>
        <v>20</v>
      </c>
      <c r="D4" s="10">
        <f>(D15+D18)-(D8+D6+D5)</f>
        <v>-794.4000000000001</v>
      </c>
      <c r="E4" t="s">
        <v>170</v>
      </c>
    </row>
    <row r="5" spans="2:4" ht="21.75">
      <c r="B5" t="s">
        <v>14</v>
      </c>
      <c r="C5" s="10">
        <v>20</v>
      </c>
      <c r="D5" s="10">
        <v>21</v>
      </c>
    </row>
    <row r="6" spans="2:4" ht="21.75">
      <c r="B6" t="s">
        <v>15</v>
      </c>
      <c r="C6" s="10">
        <v>250</v>
      </c>
      <c r="D6" s="10">
        <v>263</v>
      </c>
    </row>
    <row r="7" spans="2:4" ht="21.75">
      <c r="B7" s="1" t="s">
        <v>16</v>
      </c>
      <c r="C7" s="11">
        <f>C4+C5+C6</f>
        <v>290</v>
      </c>
      <c r="D7" s="11">
        <f>D4+D5+D6</f>
        <v>-510.4000000000001</v>
      </c>
    </row>
    <row r="8" spans="2:4" ht="21.75">
      <c r="B8" s="1" t="s">
        <v>17</v>
      </c>
      <c r="C8" s="11">
        <v>2000</v>
      </c>
      <c r="D8" s="11">
        <f>C8+'SG&amp;A'!D23-'SG&amp;A'!D26</f>
        <v>2560</v>
      </c>
    </row>
    <row r="9" spans="2:5" ht="21.75">
      <c r="B9" s="53" t="s">
        <v>18</v>
      </c>
      <c r="C9" s="56">
        <f>C7+C8</f>
        <v>2290</v>
      </c>
      <c r="D9" s="56">
        <f>D7+D8</f>
        <v>2049.6</v>
      </c>
      <c r="E9" s="1"/>
    </row>
    <row r="10" spans="2:5" ht="21.75">
      <c r="B10" s="5" t="s">
        <v>71</v>
      </c>
      <c r="C10" s="11">
        <v>0</v>
      </c>
      <c r="D10" s="12">
        <v>0</v>
      </c>
      <c r="E10" s="1"/>
    </row>
    <row r="11" spans="2:4" ht="21.75">
      <c r="B11" t="s">
        <v>22</v>
      </c>
      <c r="C11" s="10">
        <v>250</v>
      </c>
      <c r="D11" s="10">
        <f>('P&amp;L'!D6*'BS'!D24)/360</f>
        <v>0</v>
      </c>
    </row>
    <row r="12" spans="2:4" ht="21.75">
      <c r="B12" t="s">
        <v>67</v>
      </c>
      <c r="C12" s="10">
        <v>0</v>
      </c>
      <c r="D12" s="10">
        <v>200</v>
      </c>
    </row>
    <row r="13" spans="2:4" ht="21.75">
      <c r="B13" s="1" t="s">
        <v>19</v>
      </c>
      <c r="C13" s="11">
        <f>C11+C12</f>
        <v>250</v>
      </c>
      <c r="D13" s="11">
        <f>D10+D11+D12</f>
        <v>200</v>
      </c>
    </row>
    <row r="14" spans="2:4" ht="21.75">
      <c r="B14" t="s">
        <v>23</v>
      </c>
      <c r="C14" s="10">
        <v>1000</v>
      </c>
      <c r="D14" s="10">
        <f>'SG&amp;A'!D35</f>
        <v>800</v>
      </c>
    </row>
    <row r="15" spans="2:4" ht="21.75">
      <c r="B15" s="53" t="s">
        <v>24</v>
      </c>
      <c r="C15" s="56">
        <f>C13+C14</f>
        <v>1250</v>
      </c>
      <c r="D15" s="56">
        <f>D13+D14</f>
        <v>1000</v>
      </c>
    </row>
    <row r="16" spans="2:4" ht="21.75">
      <c r="B16" t="s">
        <v>101</v>
      </c>
      <c r="C16" s="10">
        <v>1000</v>
      </c>
      <c r="D16" s="10">
        <f>C16</f>
        <v>1000</v>
      </c>
    </row>
    <row r="17" spans="2:4" ht="21.75">
      <c r="B17" t="s">
        <v>20</v>
      </c>
      <c r="C17" s="10">
        <v>40</v>
      </c>
      <c r="D17" s="10">
        <f>C17+'P&amp;L'!D15-('P&amp;L'!D18*'P&amp;L'!D16)</f>
        <v>49.6</v>
      </c>
    </row>
    <row r="18" spans="2:4" ht="21.75">
      <c r="B18" s="53" t="s">
        <v>21</v>
      </c>
      <c r="C18" s="56">
        <f>C16+C17</f>
        <v>1040</v>
      </c>
      <c r="D18" s="56">
        <f>D16+D17</f>
        <v>1049.6</v>
      </c>
    </row>
    <row r="19" spans="2:4" ht="21.75">
      <c r="B19" s="5" t="s">
        <v>35</v>
      </c>
      <c r="C19" s="11">
        <f>C9-C15-C18</f>
        <v>0</v>
      </c>
      <c r="D19" s="11">
        <f>D9-D15-D18</f>
        <v>0</v>
      </c>
    </row>
    <row r="20" spans="2:4" ht="21.75">
      <c r="B20" s="5"/>
      <c r="C20" s="11"/>
      <c r="D20" s="11"/>
    </row>
    <row r="21" spans="2:4" ht="21.75">
      <c r="B21" t="s">
        <v>162</v>
      </c>
      <c r="C21">
        <f>C7/C13</f>
        <v>1.16</v>
      </c>
      <c r="D21" s="17">
        <f>D7/D13</f>
        <v>-2.5520000000000005</v>
      </c>
    </row>
    <row r="22" spans="2:4" ht="21.75">
      <c r="B22" t="s">
        <v>25</v>
      </c>
      <c r="C22">
        <f>(C5*360)/'P&amp;L'!C5</f>
        <v>4.8</v>
      </c>
      <c r="D22" s="17">
        <v>0</v>
      </c>
    </row>
    <row r="23" spans="2:4" ht="21.75">
      <c r="B23" t="s">
        <v>26</v>
      </c>
      <c r="C23" s="3">
        <f>(C6*360)/'P&amp;L'!C6</f>
        <v>75</v>
      </c>
      <c r="D23" s="17">
        <v>0</v>
      </c>
    </row>
    <row r="24" spans="2:4" ht="21.75">
      <c r="B24" t="s">
        <v>27</v>
      </c>
      <c r="C24" s="3">
        <f>(C11*360)/'P&amp;L'!C6</f>
        <v>75</v>
      </c>
      <c r="D24" s="17">
        <v>0</v>
      </c>
    </row>
    <row r="25" spans="2:4" ht="21.75">
      <c r="B25" t="s">
        <v>28</v>
      </c>
      <c r="C25" s="8">
        <f>'P&amp;L'!C15/'BS'!C9</f>
        <v>0.058078602620087336</v>
      </c>
      <c r="D25" s="8">
        <f>'P&amp;L'!D15/'BS'!D9</f>
        <v>0.00585480093676815</v>
      </c>
    </row>
    <row r="26" spans="2:4" ht="21.75">
      <c r="B26" t="s">
        <v>29</v>
      </c>
      <c r="C26" s="8">
        <f>'P&amp;L'!C15/'BS'!C18</f>
        <v>0.12788461538461537</v>
      </c>
      <c r="D26" s="8">
        <f>'P&amp;L'!D15/'BS'!D18</f>
        <v>0.011432926829268294</v>
      </c>
    </row>
    <row r="27" spans="2:4" ht="21.75">
      <c r="B27" t="s">
        <v>30</v>
      </c>
      <c r="C27" s="23">
        <f>C15/C18</f>
        <v>1.2019230769230769</v>
      </c>
      <c r="D27" s="23">
        <f>D15/D18</f>
        <v>0.9527439024390245</v>
      </c>
    </row>
    <row r="29" ht="21.75">
      <c r="B29" s="53" t="s">
        <v>149</v>
      </c>
    </row>
    <row r="30" spans="3:4" ht="21.75">
      <c r="C30" s="2">
        <v>2001</v>
      </c>
      <c r="D30" s="2" t="s">
        <v>12</v>
      </c>
    </row>
    <row r="31" spans="2:5" ht="21.75">
      <c r="B31" t="s">
        <v>150</v>
      </c>
      <c r="C31" s="8">
        <f>'P&amp;L'!C10/'P&amp;L'!C5</f>
        <v>0.13333333333333333</v>
      </c>
      <c r="D31" s="24">
        <f>'P&amp;L'!D10/'P&amp;L'!D5</f>
        <v>0</v>
      </c>
      <c r="E31" t="s">
        <v>155</v>
      </c>
    </row>
    <row r="32" spans="2:5" ht="21.75">
      <c r="B32" t="s">
        <v>159</v>
      </c>
      <c r="C32" s="23">
        <f>'P&amp;L'!C5/'BS'!C9</f>
        <v>0.6550218340611353</v>
      </c>
      <c r="D32" s="107">
        <f>'P&amp;L'!D5/'BS'!D9</f>
        <v>0.8050351288056208</v>
      </c>
      <c r="E32" t="s">
        <v>156</v>
      </c>
    </row>
    <row r="33" spans="2:4" ht="21.75">
      <c r="B33" t="s">
        <v>151</v>
      </c>
      <c r="C33" s="8">
        <f>C31*C32</f>
        <v>0.08733624454148471</v>
      </c>
      <c r="D33" s="24">
        <f>D31*D32</f>
        <v>0</v>
      </c>
    </row>
    <row r="34" spans="2:5" ht="21.75">
      <c r="B34" t="s">
        <v>152</v>
      </c>
      <c r="C34" s="8">
        <f>'P&amp;L'!C12/'BS'!C9</f>
        <v>0.004366812227074236</v>
      </c>
      <c r="D34" s="24">
        <f>'P&amp;L'!D12/'BS'!D9</f>
        <v>0</v>
      </c>
      <c r="E34" t="s">
        <v>157</v>
      </c>
    </row>
    <row r="35" spans="2:4" ht="21.75">
      <c r="B35" t="s">
        <v>153</v>
      </c>
      <c r="C35" s="8">
        <f>C33-C34</f>
        <v>0.08296943231441048</v>
      </c>
      <c r="D35" s="24">
        <f>D33-D34</f>
        <v>0</v>
      </c>
    </row>
    <row r="36" spans="2:5" ht="21.75">
      <c r="B36" t="s">
        <v>160</v>
      </c>
      <c r="C36" s="23">
        <f>C9/C18</f>
        <v>2.201923076923077</v>
      </c>
      <c r="D36" s="107">
        <f>D9/D18</f>
        <v>1.9527439024390245</v>
      </c>
      <c r="E36" t="s">
        <v>158</v>
      </c>
    </row>
    <row r="37" spans="2:4" ht="21.75">
      <c r="B37" t="s">
        <v>161</v>
      </c>
      <c r="C37" s="8">
        <f>C35*C36</f>
        <v>0.1826923076923077</v>
      </c>
      <c r="D37" s="24">
        <f>D35*D36</f>
        <v>0</v>
      </c>
    </row>
    <row r="38" spans="2:5" ht="21.75">
      <c r="B38" t="s">
        <v>154</v>
      </c>
      <c r="C38" s="8">
        <f>(1-'P&amp;L'!C14/'P&amp;L'!C13)</f>
        <v>0.7</v>
      </c>
      <c r="D38" s="24" t="e">
        <f>(1-'P&amp;L'!D14/'P&amp;L'!D13)</f>
        <v>#DIV/0!</v>
      </c>
      <c r="E38" t="s">
        <v>154</v>
      </c>
    </row>
    <row r="39" spans="2:4" ht="21.75">
      <c r="B39" t="s">
        <v>29</v>
      </c>
      <c r="C39" s="8">
        <f>C37*C38</f>
        <v>0.1278846153846154</v>
      </c>
      <c r="D39" s="24" t="e">
        <f>D37*D38</f>
        <v>#DIV/0!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4"/>
  <sheetViews>
    <sheetView tabSelected="1" workbookViewId="0" topLeftCell="C2">
      <selection activeCell="E14" sqref="E14"/>
    </sheetView>
  </sheetViews>
  <sheetFormatPr defaultColWidth="9.140625" defaultRowHeight="21.75"/>
  <cols>
    <col min="2" max="2" width="22.57421875" style="0" customWidth="1"/>
    <col min="4" max="4" width="12.140625" style="0" customWidth="1"/>
    <col min="5" max="5" width="16.421875" style="0" customWidth="1"/>
    <col min="8" max="8" width="20.8515625" style="0" customWidth="1"/>
    <col min="9" max="9" width="9.421875" style="0" bestFit="1" customWidth="1"/>
  </cols>
  <sheetData>
    <row r="2" spans="2:8" ht="21.75">
      <c r="B2" s="68" t="s">
        <v>91</v>
      </c>
      <c r="C2" s="26"/>
      <c r="H2" s="25" t="s">
        <v>72</v>
      </c>
    </row>
    <row r="3" spans="2:8" ht="21.75">
      <c r="B3" s="26"/>
      <c r="C3" s="26"/>
      <c r="D3" s="69" t="s">
        <v>98</v>
      </c>
      <c r="E3" s="1" t="s">
        <v>97</v>
      </c>
      <c r="H3" t="s">
        <v>73</v>
      </c>
    </row>
    <row r="4" spans="2:8" ht="21.75">
      <c r="B4" s="58" t="s">
        <v>74</v>
      </c>
      <c r="C4" s="59"/>
      <c r="D4" s="60">
        <v>8</v>
      </c>
      <c r="E4" s="70">
        <v>0</v>
      </c>
      <c r="H4" t="s">
        <v>75</v>
      </c>
    </row>
    <row r="5" spans="2:9" ht="21.75">
      <c r="B5" s="26" t="s">
        <v>76</v>
      </c>
      <c r="C5" s="26"/>
      <c r="D5" s="26">
        <v>100</v>
      </c>
      <c r="E5" s="26">
        <v>100</v>
      </c>
      <c r="H5" s="26" t="s">
        <v>77</v>
      </c>
      <c r="I5">
        <f>'P&amp;L'!D15</f>
        <v>12</v>
      </c>
    </row>
    <row r="6" spans="2:9" ht="21.75">
      <c r="B6" s="26" t="s">
        <v>78</v>
      </c>
      <c r="C6" s="29"/>
      <c r="D6" s="29">
        <f>'BS'!D10+'BS'!D12+'BS'!D14</f>
        <v>1000</v>
      </c>
      <c r="E6" s="29">
        <f>'BS'!D10+'BS'!D12+'BS'!D14</f>
        <v>1000</v>
      </c>
      <c r="H6" s="26" t="s">
        <v>79</v>
      </c>
      <c r="I6" s="3">
        <f>D17</f>
        <v>0</v>
      </c>
    </row>
    <row r="7" spans="2:10" ht="21.75">
      <c r="B7" s="26" t="s">
        <v>80</v>
      </c>
      <c r="C7" s="30"/>
      <c r="D7" s="30">
        <f>'BS'!D4</f>
        <v>-794.4000000000001</v>
      </c>
      <c r="E7" s="20">
        <f>D7</f>
        <v>-794.4000000000001</v>
      </c>
      <c r="H7" s="26" t="s">
        <v>81</v>
      </c>
      <c r="I7">
        <f>D18</f>
        <v>0</v>
      </c>
      <c r="J7" s="3"/>
    </row>
    <row r="8" spans="2:9" ht="21.75">
      <c r="B8" s="26" t="s">
        <v>82</v>
      </c>
      <c r="C8" s="30"/>
      <c r="D8" s="30">
        <f>'P&amp;L'!D11</f>
        <v>0</v>
      </c>
      <c r="E8" s="20">
        <f>D8</f>
        <v>0</v>
      </c>
      <c r="H8" s="26" t="s">
        <v>83</v>
      </c>
      <c r="I8" s="3">
        <f>D19</f>
        <v>-750.4000000000001</v>
      </c>
    </row>
    <row r="9" spans="2:9" ht="21.75">
      <c r="B9" s="61" t="s">
        <v>84</v>
      </c>
      <c r="C9" s="62"/>
      <c r="D9" s="62" t="e">
        <f>((D4*D5)+D6-D7)/D8</f>
        <v>#DIV/0!</v>
      </c>
      <c r="E9" s="35" t="e">
        <f>((E4*E5)+E6-E7)/E8</f>
        <v>#DIV/0!</v>
      </c>
      <c r="H9" s="26" t="s">
        <v>75</v>
      </c>
      <c r="I9" s="3">
        <f>I5+I6-I7-I8</f>
        <v>762.4000000000001</v>
      </c>
    </row>
    <row r="10" spans="2:9" ht="21.75">
      <c r="B10" s="57" t="s">
        <v>92</v>
      </c>
      <c r="C10" s="57"/>
      <c r="D10" s="63">
        <f>D4/'P&amp;L'!D17</f>
        <v>66.66666666666667</v>
      </c>
      <c r="E10" s="63">
        <f>E4/'P&amp;L'!D17</f>
        <v>0</v>
      </c>
      <c r="H10" t="s">
        <v>107</v>
      </c>
      <c r="I10" s="3">
        <f>(I9/'P&amp;L'!D15)*1.05</f>
        <v>66.71000000000001</v>
      </c>
    </row>
    <row r="11" spans="2:9" ht="21.75">
      <c r="B11" s="26" t="s">
        <v>93</v>
      </c>
      <c r="C11" s="26"/>
      <c r="D11" s="23">
        <f>D4/('BS'!D18/'P&amp;L'!D16)</f>
        <v>0.7621951219512196</v>
      </c>
      <c r="E11" s="23">
        <f>E4/('BS'!D18/'P&amp;L'!D16)</f>
        <v>0</v>
      </c>
      <c r="H11" t="s">
        <v>90</v>
      </c>
      <c r="I11" s="8">
        <f>11.5%-5%</f>
        <v>0.065</v>
      </c>
    </row>
    <row r="12" spans="2:9" ht="21.75">
      <c r="B12" s="26" t="s">
        <v>94</v>
      </c>
      <c r="C12" s="26"/>
      <c r="D12" s="8">
        <f>'P&amp;L'!D18/valuation!D4</f>
        <v>0.003</v>
      </c>
      <c r="E12" s="8" t="e">
        <f>'P&amp;L'!D18/valuation!E4</f>
        <v>#DIV/0!</v>
      </c>
      <c r="H12" s="53" t="s">
        <v>103</v>
      </c>
      <c r="I12" s="64">
        <f>I10/I11</f>
        <v>1026.3076923076924</v>
      </c>
    </row>
    <row r="13" spans="2:9" ht="21.75">
      <c r="B13" s="65" t="s">
        <v>99</v>
      </c>
      <c r="C13" s="65"/>
      <c r="D13" s="66"/>
      <c r="E13" s="67"/>
      <c r="I13" s="3"/>
    </row>
    <row r="14" spans="2:9" ht="21.75">
      <c r="B14" s="26"/>
      <c r="C14" s="26"/>
      <c r="I14" s="3"/>
    </row>
    <row r="15" spans="2:3" ht="21.75">
      <c r="B15" s="33" t="s">
        <v>100</v>
      </c>
      <c r="C15" s="26"/>
    </row>
    <row r="16" spans="2:4" ht="21.75">
      <c r="B16" s="26" t="s">
        <v>6</v>
      </c>
      <c r="C16" s="28">
        <f>'P&amp;L'!C10</f>
        <v>200</v>
      </c>
      <c r="D16" s="28">
        <f>'P&amp;L'!D10</f>
        <v>0</v>
      </c>
    </row>
    <row r="17" spans="2:4" ht="21.75">
      <c r="B17" s="26" t="s">
        <v>79</v>
      </c>
      <c r="C17" s="28">
        <f>'P&amp;L'!C9</f>
        <v>30</v>
      </c>
      <c r="D17" s="28">
        <f>'P&amp;L'!D9</f>
        <v>0</v>
      </c>
    </row>
    <row r="18" spans="2:4" ht="21.75">
      <c r="B18" s="26" t="s">
        <v>81</v>
      </c>
      <c r="C18" s="26">
        <v>50</v>
      </c>
      <c r="D18">
        <f>'BS'!G8</f>
        <v>0</v>
      </c>
    </row>
    <row r="19" spans="2:4" ht="21.75">
      <c r="B19" s="26" t="s">
        <v>83</v>
      </c>
      <c r="C19" s="26"/>
      <c r="D19" s="28">
        <f>('BS'!D7-'BS'!D13)-('BS'!C7-'BS'!C13)</f>
        <v>-750.4000000000001</v>
      </c>
    </row>
    <row r="20" spans="2:5" ht="21.75">
      <c r="B20" s="26"/>
      <c r="C20" s="26"/>
      <c r="D20" s="28">
        <f>D16+D17-D18-D19</f>
        <v>750.4000000000001</v>
      </c>
      <c r="E20" s="26"/>
    </row>
    <row r="21" spans="2:4" ht="21.75">
      <c r="B21" s="26" t="s">
        <v>108</v>
      </c>
      <c r="C21" s="27"/>
      <c r="D21" s="7">
        <v>0.115</v>
      </c>
    </row>
    <row r="22" spans="2:4" ht="21.75">
      <c r="B22" s="26" t="s">
        <v>85</v>
      </c>
      <c r="C22" s="26"/>
      <c r="D22" s="31">
        <f>D20/D21</f>
        <v>6525.217391304348</v>
      </c>
    </row>
    <row r="23" spans="2:4" ht="21.75">
      <c r="B23" s="26" t="s">
        <v>86</v>
      </c>
      <c r="C23" s="26"/>
      <c r="D23" s="26">
        <f>D8</f>
        <v>0</v>
      </c>
    </row>
    <row r="24" spans="2:9" ht="21.75">
      <c r="B24" s="33" t="s">
        <v>102</v>
      </c>
      <c r="C24" s="33" t="s">
        <v>55</v>
      </c>
      <c r="D24" s="34" t="e">
        <f>D22/D23</f>
        <v>#DIV/0!</v>
      </c>
      <c r="E24" s="26"/>
      <c r="F24" s="26"/>
      <c r="G24" s="26"/>
      <c r="H24" s="26"/>
      <c r="I24" s="2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KGI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edcl</dc:creator>
  <cp:keywords/>
  <dc:description/>
  <cp:lastModifiedBy>computer</cp:lastModifiedBy>
  <dcterms:created xsi:type="dcterms:W3CDTF">2002-07-04T04:17:53Z</dcterms:created>
  <dcterms:modified xsi:type="dcterms:W3CDTF">2002-07-11T09:02:45Z</dcterms:modified>
  <cp:category/>
  <cp:version/>
  <cp:contentType/>
  <cp:contentStatus/>
</cp:coreProperties>
</file>