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72" windowHeight="4716" tabRatio="746" activeTab="0"/>
  </bookViews>
  <sheets>
    <sheet name="Depriciation" sheetId="1" r:id="rId1"/>
    <sheet name="Sheet1" sheetId="2" r:id="rId2"/>
    <sheet name="COP_MOF" sheetId="3" r:id="rId3"/>
    <sheet name="valuerange" sheetId="4" r:id="rId4"/>
    <sheet name="CF+VAL" sheetId="5" r:id="rId5"/>
    <sheet name="income cal" sheetId="6" r:id="rId6"/>
    <sheet name="Profit&amp;Loss" sheetId="7" r:id="rId7"/>
    <sheet name="p&amp;l" sheetId="8" r:id="rId8"/>
    <sheet name="expenditure" sheetId="9" r:id="rId9"/>
    <sheet name="Bal_sheet" sheetId="10" r:id="rId10"/>
    <sheet name="interest" sheetId="11" r:id="rId11"/>
    <sheet name="p&amp;l 2" sheetId="12" r:id="rId12"/>
  </sheets>
  <definedNames>
    <definedName name="g">'income cal'!$G$3</definedName>
    <definedName name="i">'interest'!$B$3</definedName>
    <definedName name="noi">'interest'!$B$5</definedName>
    <definedName name="_xlnm.Print_Area" localSheetId="9">'Bal_sheet'!$A$1:$I$25</definedName>
    <definedName name="_xlnm.Print_Area" localSheetId="4">'CF+VAL'!$A$1:$I$28</definedName>
    <definedName name="_xlnm.Print_Area" localSheetId="2">'COP_MOF'!$A$2:$D$12</definedName>
    <definedName name="_xlnm.Print_Area" localSheetId="0">'Depriciation'!$A$1:$F$59</definedName>
    <definedName name="_xlnm.Print_Area" localSheetId="10">'interest'!$A$1:$F$39</definedName>
    <definedName name="_xlnm.Print_Area" localSheetId="7">'p&amp;l'!$A$1:$G$34</definedName>
    <definedName name="_xlnm.Print_Area" localSheetId="6">'Profit&amp;Loss'!$A$1:$I$29</definedName>
    <definedName name="Rate">'interest'!$B$3</definedName>
  </definedNames>
  <calcPr fullCalcOnLoad="1"/>
</workbook>
</file>

<file path=xl/sharedStrings.xml><?xml version="1.0" encoding="utf-8"?>
<sst xmlns="http://schemas.openxmlformats.org/spreadsheetml/2006/main" count="416" uniqueCount="248">
  <si>
    <t>Year 1</t>
  </si>
  <si>
    <t>Year 2</t>
  </si>
  <si>
    <t>Year-3</t>
  </si>
  <si>
    <t>No.of advertisements</t>
  </si>
  <si>
    <t xml:space="preserve">appearing during the </t>
  </si>
  <si>
    <t>year in Hindu,TOI,</t>
  </si>
  <si>
    <t>Hindustan Times</t>
  </si>
  <si>
    <t>Guj Sam, Sandesh</t>
  </si>
  <si>
    <t>from five papers</t>
  </si>
  <si>
    <t>Total revenue from</t>
  </si>
  <si>
    <t>Average cost of ad</t>
  </si>
  <si>
    <t>for 12 days</t>
  </si>
  <si>
    <t>Extrapolating from 12</t>
  </si>
  <si>
    <t xml:space="preserve">day figures annual </t>
  </si>
  <si>
    <t xml:space="preserve">market </t>
  </si>
  <si>
    <t>or</t>
  </si>
  <si>
    <t>Rs.30 crores</t>
  </si>
  <si>
    <t>Annual market for</t>
  </si>
  <si>
    <t>Total market size</t>
  </si>
  <si>
    <t>Rs lacs</t>
  </si>
  <si>
    <t>No. of ads at average</t>
  </si>
  <si>
    <t>cost of R.458 per ad</t>
  </si>
  <si>
    <t>Market share of RMA</t>
  </si>
  <si>
    <t>in percentage terms</t>
  </si>
  <si>
    <t>In rupee terms</t>
  </si>
  <si>
    <t>Commission @20%</t>
  </si>
  <si>
    <t>Outflow</t>
  </si>
  <si>
    <t>Net inflow</t>
  </si>
  <si>
    <t>No. of ads that should</t>
  </si>
  <si>
    <t>be generated by RMA</t>
  </si>
  <si>
    <t>top ten papers</t>
  </si>
  <si>
    <t>Rs.60 crores</t>
  </si>
  <si>
    <t>Aevrage cost of ad</t>
  </si>
  <si>
    <t>in The Hindu</t>
  </si>
  <si>
    <t>No.  dailies reckoned</t>
  </si>
  <si>
    <t>at average cost of Rs.458</t>
  </si>
  <si>
    <t>at average cost of Rs.850</t>
  </si>
  <si>
    <t>Marketing in India</t>
  </si>
  <si>
    <t>Press advertisements</t>
  </si>
  <si>
    <t>R&amp;D costs</t>
  </si>
  <si>
    <t xml:space="preserve">Press releases and </t>
  </si>
  <si>
    <t>PR activities</t>
  </si>
  <si>
    <t>Web site development</t>
  </si>
  <si>
    <t>Direct marketing in 10</t>
  </si>
  <si>
    <t>(outsource)</t>
  </si>
  <si>
    <t>cities to 20000 persons</t>
  </si>
  <si>
    <t>in each city @ Rs.10</t>
  </si>
  <si>
    <t>Web site maintenance</t>
  </si>
  <si>
    <t>per head</t>
  </si>
  <si>
    <t>(e-com package cost)</t>
  </si>
  <si>
    <t>Internet advertisement</t>
  </si>
  <si>
    <t>(10 good Indian sites</t>
  </si>
  <si>
    <t xml:space="preserve">Hardware </t>
  </si>
  <si>
    <t>at Rs.1 lac per site)</t>
  </si>
  <si>
    <t>maintenance</t>
  </si>
  <si>
    <t xml:space="preserve">E-mail promotion and </t>
  </si>
  <si>
    <t>data base acquisition</t>
  </si>
  <si>
    <t>Personnel costs</t>
  </si>
  <si>
    <t>Sub Total</t>
  </si>
  <si>
    <t>Marketing in USA and</t>
  </si>
  <si>
    <t>Office costs</t>
  </si>
  <si>
    <t>UK, and Canada</t>
  </si>
  <si>
    <t xml:space="preserve">Connectivity </t>
  </si>
  <si>
    <t>Two trips</t>
  </si>
  <si>
    <t>Chicago plus four other</t>
  </si>
  <si>
    <t>Marketing costs in</t>
  </si>
  <si>
    <t>American centres</t>
  </si>
  <si>
    <t xml:space="preserve">USA, UK, Africa, Far </t>
  </si>
  <si>
    <t>travel costs( also UK)</t>
  </si>
  <si>
    <t>East, Middle East</t>
  </si>
  <si>
    <t xml:space="preserve">Lodging and boarding </t>
  </si>
  <si>
    <t>for twenty days</t>
  </si>
  <si>
    <t>Direct mailers- 3000</t>
  </si>
  <si>
    <t>India</t>
  </si>
  <si>
    <t>people in 5 centres</t>
  </si>
  <si>
    <t>at Rs.15 per piece</t>
  </si>
  <si>
    <t>Snail mail (US Post)</t>
  </si>
  <si>
    <t>at Rs.25 per piece</t>
  </si>
  <si>
    <t>Miscellaneous expense</t>
  </si>
  <si>
    <t>Sub total</t>
  </si>
  <si>
    <t>Personnel costs(software</t>
  </si>
  <si>
    <t>development and marketing</t>
  </si>
  <si>
    <t>personnel)</t>
  </si>
  <si>
    <t>Hardware infrastructure</t>
  </si>
  <si>
    <t>including connectivity</t>
  </si>
  <si>
    <t>(dedicated lease line)</t>
  </si>
  <si>
    <t>Office expense</t>
  </si>
  <si>
    <t>Sub total of costs</t>
  </si>
  <si>
    <t>of marketing</t>
  </si>
  <si>
    <t>Margin for contingencies</t>
  </si>
  <si>
    <t>at 10% of total cost</t>
  </si>
  <si>
    <t>Total project cost</t>
  </si>
  <si>
    <t>Year 3</t>
  </si>
  <si>
    <t>Year 4</t>
  </si>
  <si>
    <t>Yeare 5</t>
  </si>
  <si>
    <t>Revenue from commission</t>
  </si>
  <si>
    <t>Expenditure</t>
  </si>
  <si>
    <t>Marketing exp.</t>
  </si>
  <si>
    <t xml:space="preserve">(1'st year's distributed over </t>
  </si>
  <si>
    <t>(2'nd year's distributed equally</t>
  </si>
  <si>
    <t>Depriciation on Hardware</t>
  </si>
  <si>
    <t>R&amp;D exp</t>
  </si>
  <si>
    <t>Website development</t>
  </si>
  <si>
    <t>Website maintanance</t>
  </si>
  <si>
    <t>Hardware maintanance</t>
  </si>
  <si>
    <t>TOTAL REVENUE</t>
  </si>
  <si>
    <t>TOTAL EXPENDITURE</t>
  </si>
  <si>
    <t>PROJECTED PROFIT &amp; LOSS (ALL EQUITY SCENARIO)</t>
  </si>
  <si>
    <t>PBITD</t>
  </si>
  <si>
    <t>OPERATING MARGINS</t>
  </si>
  <si>
    <t>PBIT</t>
  </si>
  <si>
    <t>Interest</t>
  </si>
  <si>
    <t>PBT</t>
  </si>
  <si>
    <t>GROSS MARGINS</t>
  </si>
  <si>
    <t>Tax</t>
  </si>
  <si>
    <t>PAT</t>
  </si>
  <si>
    <t>NET MARGINS</t>
  </si>
  <si>
    <t>PROJECTED PROFIT &amp; LOSS (DEBT EQUITY OPTION ,DER 1:1)</t>
  </si>
  <si>
    <t>Debt</t>
  </si>
  <si>
    <t>cashflow</t>
  </si>
  <si>
    <t>Op. Bal</t>
  </si>
  <si>
    <t>Repay</t>
  </si>
  <si>
    <t>Cl.Bal</t>
  </si>
  <si>
    <t>IRR</t>
  </si>
  <si>
    <t>five years equally.)</t>
  </si>
  <si>
    <t>Depriciation on building,fur.&amp;fix.</t>
  </si>
  <si>
    <t>Depriciation on building,furniture and fixtures@10%</t>
  </si>
  <si>
    <t>Rate</t>
  </si>
  <si>
    <t>Op.bal</t>
  </si>
  <si>
    <t>depri.</t>
  </si>
  <si>
    <t>cl.bal</t>
  </si>
  <si>
    <t>Depritiation on building,fur&amp;fix.</t>
  </si>
  <si>
    <t>over 2,3,4&amp;5th year)</t>
  </si>
  <si>
    <t>Year-4</t>
  </si>
  <si>
    <t>Year-5</t>
  </si>
  <si>
    <t>Personnel exp.(including CEO's)</t>
  </si>
  <si>
    <t xml:space="preserve">Office exp.(inclusive of power           </t>
  </si>
  <si>
    <t xml:space="preserve">                 fuel,tel.,entertainment)</t>
  </si>
  <si>
    <t>Building</t>
  </si>
  <si>
    <t>Furnishing</t>
  </si>
  <si>
    <t>Office equipment</t>
  </si>
  <si>
    <t>Telephone,wiring</t>
  </si>
  <si>
    <t>Say Rs. 135</t>
  </si>
  <si>
    <t>2nd Year</t>
  </si>
  <si>
    <t>1st year</t>
  </si>
  <si>
    <t>Year 5</t>
  </si>
  <si>
    <t>(1'st year's distributed over five years equally.)</t>
  </si>
  <si>
    <t>(2'nd year's distributed equally over 2,3,4 &amp; 5th year)</t>
  </si>
  <si>
    <t xml:space="preserve">Office exp.(inclusive of power fuel, tel., entertainment)          </t>
  </si>
  <si>
    <t>Depreciation on Hardware</t>
  </si>
  <si>
    <t>Website maintenance</t>
  </si>
  <si>
    <t>Hardware maintenance</t>
  </si>
  <si>
    <t xml:space="preserve">Interest Rate  </t>
  </si>
  <si>
    <t>Balance Sheet</t>
  </si>
  <si>
    <t>Per Ad</t>
  </si>
  <si>
    <t>Equity Share Capital</t>
  </si>
  <si>
    <t>Reserves</t>
  </si>
  <si>
    <t>Cost of Project</t>
  </si>
  <si>
    <t>Means of Finance</t>
  </si>
  <si>
    <t>Particulars</t>
  </si>
  <si>
    <t>Rs.</t>
  </si>
  <si>
    <t>Fixed Assets</t>
  </si>
  <si>
    <t>Working capital</t>
  </si>
  <si>
    <t>Marketing Exp.</t>
  </si>
  <si>
    <t>Office Equipment</t>
  </si>
  <si>
    <t>Furniture</t>
  </si>
  <si>
    <t>Telephone Wiring</t>
  </si>
  <si>
    <t>Total</t>
  </si>
  <si>
    <t>Owner's Equity</t>
  </si>
  <si>
    <t>New Equity</t>
  </si>
  <si>
    <t>Debt-Equity Ratio</t>
  </si>
  <si>
    <t>For company</t>
  </si>
  <si>
    <t>For VC</t>
  </si>
  <si>
    <t>Schedule For Depriciation</t>
  </si>
  <si>
    <t>Asset</t>
  </si>
  <si>
    <t>Rate Of Depriciation</t>
  </si>
  <si>
    <t>Depriciation</t>
  </si>
  <si>
    <t>Opening Balance</t>
  </si>
  <si>
    <t>Closing Balance</t>
  </si>
  <si>
    <t>Other Office Eq.</t>
  </si>
  <si>
    <t>Computers</t>
  </si>
  <si>
    <t>Telephone system</t>
  </si>
  <si>
    <t>TOTAL</t>
  </si>
  <si>
    <t>Addition</t>
  </si>
  <si>
    <t>-</t>
  </si>
  <si>
    <t>Year 6</t>
  </si>
  <si>
    <t>Year 7</t>
  </si>
  <si>
    <t>Year 8</t>
  </si>
  <si>
    <t>Summary</t>
  </si>
  <si>
    <t>Gross Block</t>
  </si>
  <si>
    <t>Net Block</t>
  </si>
  <si>
    <t>Assets</t>
  </si>
  <si>
    <t>Cash</t>
  </si>
  <si>
    <t>Op.Bal.</t>
  </si>
  <si>
    <t>Repayment</t>
  </si>
  <si>
    <t>Liabilities</t>
  </si>
  <si>
    <t>Estimated Growth Rate</t>
  </si>
  <si>
    <t>Yeare 6</t>
  </si>
  <si>
    <t>Yeare 7</t>
  </si>
  <si>
    <t>Yeare 8</t>
  </si>
  <si>
    <t>Interest Payment Schedule</t>
  </si>
  <si>
    <t>Interest Paument Schedule</t>
  </si>
  <si>
    <t>Closing Bal.</t>
  </si>
  <si>
    <t>Decidec DE Ratio</t>
  </si>
  <si>
    <t>Cash-flow</t>
  </si>
  <si>
    <t>Amortization</t>
  </si>
  <si>
    <t xml:space="preserve">Depriciation </t>
  </si>
  <si>
    <t>Total In-flow</t>
  </si>
  <si>
    <t>Out-flow</t>
  </si>
  <si>
    <t>Repayment of Debt</t>
  </si>
  <si>
    <t>Purchase of fixed Assets</t>
  </si>
  <si>
    <t>Taxes</t>
  </si>
  <si>
    <t xml:space="preserve">Marketing Exp.-Unamortized </t>
  </si>
  <si>
    <t>Opening Cash Balance</t>
  </si>
  <si>
    <t>Net Cash Flow</t>
  </si>
  <si>
    <t>Total Out-flow</t>
  </si>
  <si>
    <t>Closing Cash Balance</t>
  </si>
  <si>
    <t>No. of instalmens</t>
  </si>
  <si>
    <t>Marketing Expenses</t>
  </si>
  <si>
    <t>Opening</t>
  </si>
  <si>
    <t>Additional</t>
  </si>
  <si>
    <t>Amortized</t>
  </si>
  <si>
    <t>Marketing Expenditure Amortized</t>
  </si>
  <si>
    <t xml:space="preserve">Office exp.(inclusive of power, fuel, tel., entertainment )        </t>
  </si>
  <si>
    <t>Income</t>
  </si>
  <si>
    <t>OPERATING MARGIN</t>
  </si>
  <si>
    <t>Profit &amp; Loss Statement</t>
  </si>
  <si>
    <t>Additional Exp.</t>
  </si>
  <si>
    <t>Internal Rate of Return</t>
  </si>
  <si>
    <t>Inflow</t>
  </si>
  <si>
    <t>Net Present Value</t>
  </si>
  <si>
    <t>Present Value for every year</t>
  </si>
  <si>
    <t>Value - Sensitivity Matrix</t>
  </si>
  <si>
    <t>Debt - Equity Ratio</t>
  </si>
  <si>
    <t>Market Share Change</t>
  </si>
  <si>
    <t>Sensitivity Variables</t>
  </si>
  <si>
    <t>+0.5%</t>
  </si>
  <si>
    <t>+1%</t>
  </si>
  <si>
    <t>-1%</t>
  </si>
  <si>
    <t>-0.5%</t>
  </si>
  <si>
    <t>Year</t>
  </si>
  <si>
    <t>Period</t>
  </si>
  <si>
    <t>Moratorium Period</t>
  </si>
  <si>
    <t>1 year</t>
  </si>
  <si>
    <t>Schedule of interest and repayment</t>
  </si>
  <si>
    <t>Rate of Discount</t>
  </si>
  <si>
    <t>`</t>
  </si>
  <si>
    <t>Closing Summary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</si>
</sst>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"/>
    <numFmt numFmtId="171" formatCode="0.000000000000%"/>
    <numFmt numFmtId="172" formatCode="0.0000000000000%"/>
    <numFmt numFmtId="173" formatCode="0.00000000000%"/>
    <numFmt numFmtId="174" formatCode="0.0000"/>
    <numFmt numFmtId="175" formatCode="0.000"/>
    <numFmt numFmtId="176" formatCode="0.00000"/>
    <numFmt numFmtId="177" formatCode="dd/mm/yyyy"/>
    <numFmt numFmtId="178" formatCode="m/d"/>
    <numFmt numFmtId="179" formatCode="0.00_);[Red]\(0.00\)"/>
    <numFmt numFmtId="180" formatCode="0.000000"/>
    <numFmt numFmtId="181" formatCode="0.0000000"/>
    <numFmt numFmtId="182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4"/>
      <color indexed="8"/>
      <name val="Garamond"/>
      <family val="1"/>
    </font>
    <font>
      <b/>
      <sz val="16"/>
      <color indexed="18"/>
      <name val="Arial"/>
      <family val="2"/>
    </font>
    <font>
      <i/>
      <sz val="10"/>
      <name val="Garamond"/>
      <family val="1"/>
    </font>
    <font>
      <b/>
      <sz val="12"/>
      <color indexed="1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9" fontId="0" fillId="0" borderId="0" xfId="19" applyAlignment="1">
      <alignment/>
    </xf>
    <xf numFmtId="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10" xfId="19" applyFont="1" applyBorder="1" applyAlignment="1">
      <alignment/>
    </xf>
    <xf numFmtId="0" fontId="0" fillId="0" borderId="11" xfId="0" applyBorder="1" applyAlignment="1">
      <alignment/>
    </xf>
    <xf numFmtId="9" fontId="1" fillId="0" borderId="12" xfId="19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9" fontId="0" fillId="0" borderId="14" xfId="19" applyBorder="1" applyAlignment="1">
      <alignment/>
    </xf>
    <xf numFmtId="2" fontId="0" fillId="0" borderId="14" xfId="0" applyNumberFormat="1" applyBorder="1" applyAlignment="1">
      <alignment/>
    </xf>
    <xf numFmtId="9" fontId="0" fillId="0" borderId="10" xfId="19" applyBorder="1" applyAlignment="1">
      <alignment/>
    </xf>
    <xf numFmtId="2" fontId="0" fillId="0" borderId="1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5" xfId="0" applyNumberFormat="1" applyBorder="1" applyAlignment="1">
      <alignment/>
    </xf>
    <xf numFmtId="9" fontId="0" fillId="0" borderId="12" xfId="19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1" fillId="2" borderId="19" xfId="0" applyNumberFormat="1" applyFont="1" applyFill="1" applyBorder="1" applyAlignment="1">
      <alignment/>
    </xf>
    <xf numFmtId="2" fontId="1" fillId="2" borderId="20" xfId="0" applyNumberFormat="1" applyFont="1" applyFill="1" applyBorder="1" applyAlignment="1">
      <alignment/>
    </xf>
    <xf numFmtId="2" fontId="1" fillId="2" borderId="20" xfId="19" applyNumberFormat="1" applyFont="1" applyFill="1" applyBorder="1" applyAlignment="1">
      <alignment/>
    </xf>
    <xf numFmtId="2" fontId="1" fillId="2" borderId="21" xfId="0" applyNumberFormat="1" applyFont="1" applyFill="1" applyBorder="1" applyAlignment="1">
      <alignment/>
    </xf>
    <xf numFmtId="43" fontId="0" fillId="0" borderId="0" xfId="15" applyAlignment="1">
      <alignment/>
    </xf>
    <xf numFmtId="43" fontId="0" fillId="0" borderId="12" xfId="15" applyBorder="1" applyAlignment="1">
      <alignment horizontal="center"/>
    </xf>
    <xf numFmtId="43" fontId="0" fillId="0" borderId="14" xfId="15" applyBorder="1" applyAlignment="1">
      <alignment horizontal="center"/>
    </xf>
    <xf numFmtId="43" fontId="1" fillId="2" borderId="20" xfId="15" applyFont="1" applyFill="1" applyBorder="1" applyAlignment="1">
      <alignment/>
    </xf>
    <xf numFmtId="43" fontId="0" fillId="0" borderId="14" xfId="15" applyBorder="1" applyAlignment="1">
      <alignment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9" fontId="0" fillId="0" borderId="0" xfId="19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4" xfId="19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3" fontId="3" fillId="3" borderId="24" xfId="15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9" fontId="1" fillId="0" borderId="4" xfId="19" applyFont="1" applyBorder="1" applyAlignment="1">
      <alignment/>
    </xf>
    <xf numFmtId="0" fontId="0" fillId="0" borderId="13" xfId="0" applyBorder="1" applyAlignment="1">
      <alignment vertical="center" wrapText="1"/>
    </xf>
    <xf numFmtId="9" fontId="1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70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2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29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10" fontId="0" fillId="0" borderId="0" xfId="19" applyNumberFormat="1" applyFont="1" applyBorder="1" applyAlignment="1">
      <alignment vertical="center"/>
    </xf>
    <xf numFmtId="10" fontId="0" fillId="0" borderId="5" xfId="19" applyNumberFormat="1" applyFont="1" applyBorder="1" applyAlignment="1">
      <alignment vertical="center"/>
    </xf>
    <xf numFmtId="10" fontId="0" fillId="0" borderId="6" xfId="19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2" fontId="1" fillId="2" borderId="26" xfId="0" applyNumberFormat="1" applyFont="1" applyFill="1" applyBorder="1" applyAlignment="1">
      <alignment vertical="center"/>
    </xf>
    <xf numFmtId="2" fontId="1" fillId="2" borderId="27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2" fontId="1" fillId="2" borderId="30" xfId="0" applyNumberFormat="1" applyFont="1" applyFill="1" applyBorder="1" applyAlignment="1">
      <alignment vertical="center"/>
    </xf>
    <xf numFmtId="2" fontId="1" fillId="2" borderId="3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0" fontId="6" fillId="0" borderId="26" xfId="19" applyNumberFormat="1" applyFont="1" applyBorder="1" applyAlignment="1">
      <alignment vertical="center"/>
    </xf>
    <xf numFmtId="10" fontId="6" fillId="0" borderId="27" xfId="19" applyNumberFormat="1" applyFont="1" applyBorder="1" applyAlignment="1">
      <alignment vertical="center"/>
    </xf>
    <xf numFmtId="10" fontId="6" fillId="0" borderId="13" xfId="19" applyNumberFormat="1" applyFont="1" applyBorder="1" applyAlignment="1">
      <alignment vertical="center" wrapText="1"/>
    </xf>
    <xf numFmtId="2" fontId="1" fillId="2" borderId="27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79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" xfId="0" applyNumberFormat="1" applyBorder="1" applyAlignment="1">
      <alignment vertical="center" wrapText="1"/>
    </xf>
    <xf numFmtId="0" fontId="0" fillId="0" borderId="13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43" fontId="0" fillId="0" borderId="4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79" fontId="1" fillId="2" borderId="26" xfId="0" applyNumberFormat="1" applyFont="1" applyFill="1" applyBorder="1" applyAlignment="1">
      <alignment/>
    </xf>
    <xf numFmtId="179" fontId="1" fillId="2" borderId="27" xfId="0" applyNumberFormat="1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179" fontId="1" fillId="2" borderId="30" xfId="0" applyNumberFormat="1" applyFont="1" applyFill="1" applyBorder="1" applyAlignment="1">
      <alignment/>
    </xf>
    <xf numFmtId="179" fontId="1" fillId="2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43" fontId="0" fillId="0" borderId="14" xfId="15" applyBorder="1" applyAlignment="1">
      <alignment vertical="center"/>
    </xf>
    <xf numFmtId="43" fontId="1" fillId="0" borderId="30" xfId="15" applyFont="1" applyBorder="1" applyAlignment="1">
      <alignment vertical="center"/>
    </xf>
    <xf numFmtId="43" fontId="1" fillId="0" borderId="31" xfId="15" applyFont="1" applyBorder="1" applyAlignment="1">
      <alignment vertical="center"/>
    </xf>
    <xf numFmtId="43" fontId="0" fillId="0" borderId="4" xfId="15" applyBorder="1" applyAlignment="1">
      <alignment vertical="center"/>
    </xf>
    <xf numFmtId="43" fontId="0" fillId="0" borderId="26" xfId="15" applyBorder="1" applyAlignment="1">
      <alignment vertical="center"/>
    </xf>
    <xf numFmtId="43" fontId="0" fillId="0" borderId="27" xfId="15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3" fontId="1" fillId="0" borderId="20" xfId="15" applyFont="1" applyBorder="1" applyAlignment="1">
      <alignment vertical="center"/>
    </xf>
    <xf numFmtId="43" fontId="1" fillId="0" borderId="21" xfId="15" applyFont="1" applyBorder="1" applyAlignment="1">
      <alignment vertical="center"/>
    </xf>
    <xf numFmtId="0" fontId="0" fillId="0" borderId="29" xfId="0" applyBorder="1" applyAlignment="1">
      <alignment vertical="center" wrapText="1"/>
    </xf>
    <xf numFmtId="43" fontId="0" fillId="0" borderId="30" xfId="15" applyBorder="1" applyAlignment="1">
      <alignment vertical="center"/>
    </xf>
    <xf numFmtId="43" fontId="0" fillId="0" borderId="31" xfId="15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3" fontId="1" fillId="0" borderId="26" xfId="15" applyFont="1" applyBorder="1" applyAlignment="1">
      <alignment vertical="center"/>
    </xf>
    <xf numFmtId="43" fontId="1" fillId="0" borderId="27" xfId="15" applyFont="1" applyBorder="1" applyAlignment="1">
      <alignment vertical="center"/>
    </xf>
    <xf numFmtId="0" fontId="1" fillId="2" borderId="19" xfId="0" applyFont="1" applyFill="1" applyBorder="1" applyAlignment="1">
      <alignment vertical="center" wrapText="1"/>
    </xf>
    <xf numFmtId="43" fontId="1" fillId="2" borderId="20" xfId="15" applyFont="1" applyFill="1" applyBorder="1" applyAlignment="1">
      <alignment vertical="center"/>
    </xf>
    <xf numFmtId="43" fontId="1" fillId="2" borderId="21" xfId="15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43" fontId="0" fillId="0" borderId="0" xfId="15" applyBorder="1" applyAlignment="1">
      <alignment vertical="center"/>
    </xf>
    <xf numFmtId="43" fontId="0" fillId="0" borderId="5" xfId="15" applyBorder="1" applyAlignment="1">
      <alignment vertical="center"/>
    </xf>
    <xf numFmtId="43" fontId="0" fillId="0" borderId="32" xfId="15" applyBorder="1" applyAlignment="1">
      <alignment vertical="center"/>
    </xf>
    <xf numFmtId="43" fontId="0" fillId="0" borderId="2" xfId="15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" fontId="0" fillId="0" borderId="14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24" xfId="19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43" fontId="1" fillId="0" borderId="24" xfId="15" applyFont="1" applyBorder="1" applyAlignment="1">
      <alignment/>
    </xf>
    <xf numFmtId="10" fontId="1" fillId="0" borderId="24" xfId="19" applyNumberFormat="1" applyFont="1" applyBorder="1" applyAlignment="1" quotePrefix="1">
      <alignment horizontal="center"/>
    </xf>
    <xf numFmtId="0" fontId="1" fillId="4" borderId="24" xfId="0" applyFont="1" applyFill="1" applyBorder="1" applyAlignment="1">
      <alignment/>
    </xf>
    <xf numFmtId="9" fontId="1" fillId="4" borderId="24" xfId="0" applyNumberFormat="1" applyFont="1" applyFill="1" applyBorder="1" applyAlignment="1">
      <alignment/>
    </xf>
    <xf numFmtId="14" fontId="0" fillId="0" borderId="14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2" fontId="0" fillId="0" borderId="38" xfId="0" applyNumberFormat="1" applyBorder="1" applyAlignment="1">
      <alignment/>
    </xf>
    <xf numFmtId="14" fontId="3" fillId="5" borderId="19" xfId="0" applyNumberFormat="1" applyFont="1" applyFill="1" applyBorder="1" applyAlignment="1">
      <alignment/>
    </xf>
    <xf numFmtId="0" fontId="3" fillId="5" borderId="36" xfId="0" applyFont="1" applyFill="1" applyBorder="1" applyAlignment="1">
      <alignment/>
    </xf>
    <xf numFmtId="2" fontId="3" fillId="5" borderId="20" xfId="0" applyNumberFormat="1" applyFont="1" applyFill="1" applyBorder="1" applyAlignment="1">
      <alignment/>
    </xf>
    <xf numFmtId="2" fontId="3" fillId="5" borderId="36" xfId="0" applyNumberFormat="1" applyFont="1" applyFill="1" applyBorder="1" applyAlignment="1">
      <alignment/>
    </xf>
    <xf numFmtId="2" fontId="3" fillId="5" borderId="37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10" fontId="8" fillId="0" borderId="5" xfId="19" applyNumberFormat="1" applyFont="1" applyBorder="1" applyAlignment="1">
      <alignment/>
    </xf>
    <xf numFmtId="0" fontId="8" fillId="0" borderId="39" xfId="0" applyFont="1" applyBorder="1" applyAlignment="1">
      <alignment/>
    </xf>
    <xf numFmtId="2" fontId="8" fillId="0" borderId="40" xfId="0" applyNumberFormat="1" applyFont="1" applyBorder="1" applyAlignment="1">
      <alignment/>
    </xf>
    <xf numFmtId="2" fontId="8" fillId="0" borderId="5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vertical="center" wrapText="1"/>
    </xf>
    <xf numFmtId="2" fontId="0" fillId="0" borderId="5" xfId="0" applyNumberFormat="1" applyBorder="1" applyAlignment="1">
      <alignment/>
    </xf>
    <xf numFmtId="2" fontId="0" fillId="0" borderId="41" xfId="0" applyNumberForma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9" fontId="0" fillId="0" borderId="0" xfId="19" applyBorder="1" applyAlignment="1">
      <alignment/>
    </xf>
    <xf numFmtId="9" fontId="0" fillId="0" borderId="5" xfId="19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22.7109375" style="0" bestFit="1" customWidth="1"/>
    <col min="3" max="3" width="9.140625" style="46" customWidth="1"/>
    <col min="4" max="4" width="12.28125" style="0" customWidth="1"/>
    <col min="5" max="5" width="12.421875" style="0" customWidth="1"/>
  </cols>
  <sheetData>
    <row r="1" spans="1:6" ht="18" thickBot="1">
      <c r="A1" s="223" t="s">
        <v>173</v>
      </c>
      <c r="B1" s="224"/>
      <c r="C1" s="224"/>
      <c r="D1" s="224"/>
      <c r="E1" s="224"/>
      <c r="F1" s="225"/>
    </row>
    <row r="2" spans="1:6" ht="13.5" thickBot="1">
      <c r="A2" s="21"/>
      <c r="B2" s="60"/>
      <c r="C2" s="61"/>
      <c r="D2" s="60"/>
      <c r="E2" s="60"/>
      <c r="F2" s="20"/>
    </row>
    <row r="3" spans="1:6" ht="27" thickBot="1">
      <c r="A3" s="51" t="s">
        <v>174</v>
      </c>
      <c r="B3" s="62" t="s">
        <v>177</v>
      </c>
      <c r="C3" s="64" t="s">
        <v>183</v>
      </c>
      <c r="D3" s="63" t="s">
        <v>175</v>
      </c>
      <c r="E3" s="52" t="s">
        <v>176</v>
      </c>
      <c r="F3" s="53" t="s">
        <v>178</v>
      </c>
    </row>
    <row r="4" spans="1:6" ht="13.5" thickBot="1">
      <c r="A4" s="229" t="s">
        <v>0</v>
      </c>
      <c r="B4" s="230"/>
      <c r="C4" s="230"/>
      <c r="D4" s="230"/>
      <c r="E4" s="230"/>
      <c r="F4" s="231"/>
    </row>
    <row r="5" spans="1:6" ht="12.75">
      <c r="A5" s="39" t="s">
        <v>138</v>
      </c>
      <c r="B5" s="37">
        <v>20</v>
      </c>
      <c r="C5" s="47" t="s">
        <v>184</v>
      </c>
      <c r="D5" s="36">
        <v>0.1</v>
      </c>
      <c r="E5" s="37">
        <f>+D5*B5</f>
        <v>2</v>
      </c>
      <c r="F5" s="38">
        <f>+B5-E5</f>
        <v>18</v>
      </c>
    </row>
    <row r="6" spans="1:6" ht="12.75">
      <c r="A6" s="40" t="s">
        <v>165</v>
      </c>
      <c r="B6" s="31">
        <v>10</v>
      </c>
      <c r="C6" s="48" t="s">
        <v>184</v>
      </c>
      <c r="D6" s="30">
        <v>0.1</v>
      </c>
      <c r="E6" s="31">
        <f>+D6*B6</f>
        <v>1</v>
      </c>
      <c r="F6" s="34">
        <f>+B6-E6</f>
        <v>9</v>
      </c>
    </row>
    <row r="7" spans="1:6" ht="12.75">
      <c r="A7" s="40" t="s">
        <v>180</v>
      </c>
      <c r="B7" s="31">
        <v>4</v>
      </c>
      <c r="C7" s="48" t="s">
        <v>184</v>
      </c>
      <c r="D7" s="30">
        <v>0.6</v>
      </c>
      <c r="E7" s="31">
        <f>+D7*B7</f>
        <v>2.4</v>
      </c>
      <c r="F7" s="34">
        <f>+B7-E7</f>
        <v>1.6</v>
      </c>
    </row>
    <row r="8" spans="1:6" ht="12.75">
      <c r="A8" s="40" t="s">
        <v>179</v>
      </c>
      <c r="B8" s="31">
        <v>3.5</v>
      </c>
      <c r="C8" s="48" t="s">
        <v>184</v>
      </c>
      <c r="D8" s="30">
        <v>0.1</v>
      </c>
      <c r="E8" s="31">
        <f>+D8*B8</f>
        <v>0.35000000000000003</v>
      </c>
      <c r="F8" s="34">
        <f>+B8-E8</f>
        <v>3.15</v>
      </c>
    </row>
    <row r="9" spans="1:6" ht="13.5" thickBot="1">
      <c r="A9" s="41" t="s">
        <v>181</v>
      </c>
      <c r="B9" s="33">
        <v>2.5</v>
      </c>
      <c r="C9" s="48" t="s">
        <v>184</v>
      </c>
      <c r="D9" s="32">
        <v>0.25</v>
      </c>
      <c r="E9" s="33">
        <f>+D9*B9</f>
        <v>0.625</v>
      </c>
      <c r="F9" s="35">
        <f>+B9-E9</f>
        <v>1.875</v>
      </c>
    </row>
    <row r="10" spans="1:6" ht="13.5" thickBot="1">
      <c r="A10" s="42" t="s">
        <v>182</v>
      </c>
      <c r="B10" s="43">
        <f>SUM(B5:B9)</f>
        <v>40</v>
      </c>
      <c r="C10" s="49"/>
      <c r="D10" s="44"/>
      <c r="E10" s="43">
        <f>SUM(E5:E9)</f>
        <v>6.375</v>
      </c>
      <c r="F10" s="45">
        <f>SUM(F5:F9)</f>
        <v>33.625</v>
      </c>
    </row>
    <row r="11" spans="1:6" ht="13.5" thickBot="1">
      <c r="A11" s="226" t="s">
        <v>1</v>
      </c>
      <c r="B11" s="227"/>
      <c r="C11" s="227"/>
      <c r="D11" s="227"/>
      <c r="E11" s="227"/>
      <c r="F11" s="228"/>
    </row>
    <row r="12" spans="1:6" ht="12.75">
      <c r="A12" s="40" t="s">
        <v>138</v>
      </c>
      <c r="B12" s="31">
        <f>+F5</f>
        <v>18</v>
      </c>
      <c r="C12" s="48" t="s">
        <v>184</v>
      </c>
      <c r="D12" s="30">
        <v>0.1</v>
      </c>
      <c r="E12" s="31">
        <f>+D12*B12</f>
        <v>1.8</v>
      </c>
      <c r="F12" s="34">
        <f>+B12-E12</f>
        <v>16.2</v>
      </c>
    </row>
    <row r="13" spans="1:6" ht="12.75">
      <c r="A13" s="40" t="s">
        <v>165</v>
      </c>
      <c r="B13" s="31">
        <f>+F6</f>
        <v>9</v>
      </c>
      <c r="C13" s="48" t="s">
        <v>184</v>
      </c>
      <c r="D13" s="30">
        <v>0.1</v>
      </c>
      <c r="E13" s="31">
        <f>+D13*B13</f>
        <v>0.9</v>
      </c>
      <c r="F13" s="34">
        <f>+B13-E13</f>
        <v>8.1</v>
      </c>
    </row>
    <row r="14" spans="1:6" ht="12.75">
      <c r="A14" s="40" t="s">
        <v>180</v>
      </c>
      <c r="B14" s="31">
        <f>+F7</f>
        <v>1.6</v>
      </c>
      <c r="C14" s="48" t="s">
        <v>184</v>
      </c>
      <c r="D14" s="30">
        <v>0.6</v>
      </c>
      <c r="E14" s="31">
        <f>+D14*B14</f>
        <v>0.96</v>
      </c>
      <c r="F14" s="34">
        <f>+B14-E14</f>
        <v>0.6400000000000001</v>
      </c>
    </row>
    <row r="15" spans="1:6" ht="12.75">
      <c r="A15" s="40" t="s">
        <v>179</v>
      </c>
      <c r="B15" s="31">
        <f>+F8</f>
        <v>3.15</v>
      </c>
      <c r="C15" s="48" t="s">
        <v>184</v>
      </c>
      <c r="D15" s="30">
        <v>0.1</v>
      </c>
      <c r="E15" s="31">
        <f>+D15*B15</f>
        <v>0.315</v>
      </c>
      <c r="F15" s="34">
        <f>+B15-E15</f>
        <v>2.835</v>
      </c>
    </row>
    <row r="16" spans="1:6" ht="13.5" thickBot="1">
      <c r="A16" s="40" t="s">
        <v>181</v>
      </c>
      <c r="B16" s="31">
        <f>+F9</f>
        <v>1.875</v>
      </c>
      <c r="C16" s="48" t="s">
        <v>184</v>
      </c>
      <c r="D16" s="30">
        <v>0.25</v>
      </c>
      <c r="E16" s="31">
        <f>+D16*B16</f>
        <v>0.46875</v>
      </c>
      <c r="F16" s="34">
        <f>+B16-E16</f>
        <v>1.40625</v>
      </c>
    </row>
    <row r="17" spans="1:6" ht="13.5" thickBot="1">
      <c r="A17" s="42" t="s">
        <v>182</v>
      </c>
      <c r="B17" s="43">
        <f>SUM(B12:B16)</f>
        <v>33.625</v>
      </c>
      <c r="C17" s="49"/>
      <c r="D17" s="44"/>
      <c r="E17" s="43">
        <f>SUM(E12:E16)</f>
        <v>4.44375</v>
      </c>
      <c r="F17" s="45">
        <f>SUM(F12:F16)</f>
        <v>29.18125</v>
      </c>
    </row>
    <row r="18" spans="1:6" ht="13.5" thickBot="1">
      <c r="A18" s="226" t="s">
        <v>92</v>
      </c>
      <c r="B18" s="227"/>
      <c r="C18" s="227"/>
      <c r="D18" s="227"/>
      <c r="E18" s="227"/>
      <c r="F18" s="228"/>
    </row>
    <row r="19" spans="1:6" ht="12.75">
      <c r="A19" s="40" t="s">
        <v>138</v>
      </c>
      <c r="B19" s="31">
        <f>+F12</f>
        <v>16.2</v>
      </c>
      <c r="C19" s="48" t="s">
        <v>184</v>
      </c>
      <c r="D19" s="30">
        <v>0.1</v>
      </c>
      <c r="E19" s="31">
        <f>+D19*B19</f>
        <v>1.62</v>
      </c>
      <c r="F19" s="34">
        <f>+B19-E19</f>
        <v>14.579999999999998</v>
      </c>
    </row>
    <row r="20" spans="1:6" ht="12.75">
      <c r="A20" s="40" t="s">
        <v>165</v>
      </c>
      <c r="B20" s="31">
        <f>+F13</f>
        <v>8.1</v>
      </c>
      <c r="C20" s="48" t="s">
        <v>184</v>
      </c>
      <c r="D20" s="30">
        <v>0.1</v>
      </c>
      <c r="E20" s="31">
        <f>+D20*B20</f>
        <v>0.81</v>
      </c>
      <c r="F20" s="34">
        <f>+B20-E20</f>
        <v>7.289999999999999</v>
      </c>
    </row>
    <row r="21" spans="1:6" ht="12.75">
      <c r="A21" s="40" t="s">
        <v>180</v>
      </c>
      <c r="B21" s="31">
        <f>+F14</f>
        <v>0.6400000000000001</v>
      </c>
      <c r="C21" s="48">
        <v>0</v>
      </c>
      <c r="D21" s="30">
        <v>0.6</v>
      </c>
      <c r="E21" s="31">
        <f>+D21*B21</f>
        <v>0.38400000000000006</v>
      </c>
      <c r="F21" s="34">
        <f>+B21-E21</f>
        <v>0.25600000000000006</v>
      </c>
    </row>
    <row r="22" spans="1:6" ht="12.75">
      <c r="A22" s="40" t="s">
        <v>179</v>
      </c>
      <c r="B22" s="31">
        <f>+F15</f>
        <v>2.835</v>
      </c>
      <c r="C22" s="48" t="s">
        <v>184</v>
      </c>
      <c r="D22" s="30">
        <v>0.1</v>
      </c>
      <c r="E22" s="31">
        <f>+D22*B22</f>
        <v>0.28350000000000003</v>
      </c>
      <c r="F22" s="34">
        <f>+B22-E22</f>
        <v>2.5515</v>
      </c>
    </row>
    <row r="23" spans="1:6" ht="13.5" thickBot="1">
      <c r="A23" s="40" t="s">
        <v>181</v>
      </c>
      <c r="B23" s="31">
        <f>+F16</f>
        <v>1.40625</v>
      </c>
      <c r="C23" s="48" t="s">
        <v>184</v>
      </c>
      <c r="D23" s="30">
        <v>0.25</v>
      </c>
      <c r="E23" s="31">
        <f>+D23*B23</f>
        <v>0.3515625</v>
      </c>
      <c r="F23" s="34">
        <f>+B23-E23</f>
        <v>1.0546875</v>
      </c>
    </row>
    <row r="24" spans="1:6" ht="13.5" thickBot="1">
      <c r="A24" s="42" t="s">
        <v>182</v>
      </c>
      <c r="B24" s="43">
        <f>SUM(B19:B23)</f>
        <v>29.18125</v>
      </c>
      <c r="C24" s="49"/>
      <c r="D24" s="44"/>
      <c r="E24" s="43">
        <f>SUM(E19:E23)</f>
        <v>3.4490625</v>
      </c>
      <c r="F24" s="45">
        <f>SUM(F19:F23)</f>
        <v>25.7321875</v>
      </c>
    </row>
    <row r="25" spans="1:6" ht="13.5" thickBot="1">
      <c r="A25" s="226" t="s">
        <v>93</v>
      </c>
      <c r="B25" s="227"/>
      <c r="C25" s="227"/>
      <c r="D25" s="227"/>
      <c r="E25" s="227"/>
      <c r="F25" s="228"/>
    </row>
    <row r="26" spans="1:6" ht="12.75">
      <c r="A26" s="40" t="s">
        <v>138</v>
      </c>
      <c r="B26" s="31">
        <f>+F19</f>
        <v>14.579999999999998</v>
      </c>
      <c r="C26" s="50">
        <v>0</v>
      </c>
      <c r="D26" s="30">
        <v>0.1</v>
      </c>
      <c r="E26" s="31">
        <f>(+D26*B26)+(C26*D26)</f>
        <v>1.458</v>
      </c>
      <c r="F26" s="34">
        <f>+B26+C26-E26</f>
        <v>13.121999999999998</v>
      </c>
    </row>
    <row r="27" spans="1:6" ht="12.75">
      <c r="A27" s="40" t="s">
        <v>165</v>
      </c>
      <c r="B27" s="31">
        <f>+F20</f>
        <v>7.289999999999999</v>
      </c>
      <c r="C27" s="50">
        <v>0</v>
      </c>
      <c r="D27" s="30">
        <v>0.1</v>
      </c>
      <c r="E27" s="31">
        <f>(+D27*B27)+(C27*D27)</f>
        <v>0.729</v>
      </c>
      <c r="F27" s="34">
        <f>+B27+C27-E27</f>
        <v>6.560999999999999</v>
      </c>
    </row>
    <row r="28" spans="1:6" ht="12.75">
      <c r="A28" s="40" t="s">
        <v>180</v>
      </c>
      <c r="B28" s="31">
        <f>+F21</f>
        <v>0.25600000000000006</v>
      </c>
      <c r="C28" s="50">
        <v>0</v>
      </c>
      <c r="D28" s="30">
        <v>0.6</v>
      </c>
      <c r="E28" s="31">
        <f>(+D28*B28)+(C28*D28)</f>
        <v>0.15360000000000004</v>
      </c>
      <c r="F28" s="34">
        <f>+B28+C28-E28</f>
        <v>0.10240000000000002</v>
      </c>
    </row>
    <row r="29" spans="1:6" ht="12.75">
      <c r="A29" s="40" t="s">
        <v>179</v>
      </c>
      <c r="B29" s="31">
        <f>+F22</f>
        <v>2.5515</v>
      </c>
      <c r="C29" s="50">
        <v>0</v>
      </c>
      <c r="D29" s="30">
        <v>0.1</v>
      </c>
      <c r="E29" s="31">
        <f>(+D29*B29)+(C29*D29)</f>
        <v>0.25515</v>
      </c>
      <c r="F29" s="34">
        <f>+B29+C29-E29</f>
        <v>2.29635</v>
      </c>
    </row>
    <row r="30" spans="1:6" ht="13.5" thickBot="1">
      <c r="A30" s="40" t="s">
        <v>181</v>
      </c>
      <c r="B30" s="31">
        <f>+F23</f>
        <v>1.0546875</v>
      </c>
      <c r="C30" s="50">
        <v>0</v>
      </c>
      <c r="D30" s="30">
        <v>0.25</v>
      </c>
      <c r="E30" s="31">
        <f>(+D30*B30)+(C30*D30)</f>
        <v>0.263671875</v>
      </c>
      <c r="F30" s="34">
        <f>+B30+C30-E30</f>
        <v>0.791015625</v>
      </c>
    </row>
    <row r="31" spans="1:6" ht="13.5" thickBot="1">
      <c r="A31" s="42" t="s">
        <v>182</v>
      </c>
      <c r="B31" s="43">
        <f>SUM(B26:B30)</f>
        <v>25.7321875</v>
      </c>
      <c r="C31" s="49">
        <f>SUM(C26:C30)</f>
        <v>0</v>
      </c>
      <c r="D31" s="44"/>
      <c r="E31" s="43">
        <f>SUM(E26:E30)</f>
        <v>2.859421875</v>
      </c>
      <c r="F31" s="45">
        <f>SUM(F26:F30)</f>
        <v>22.872765624999996</v>
      </c>
    </row>
    <row r="32" spans="1:6" ht="13.5" thickBot="1">
      <c r="A32" s="226" t="s">
        <v>145</v>
      </c>
      <c r="B32" s="227"/>
      <c r="C32" s="227"/>
      <c r="D32" s="227"/>
      <c r="E32" s="227"/>
      <c r="F32" s="228"/>
    </row>
    <row r="33" spans="1:6" ht="12.75">
      <c r="A33" s="40" t="s">
        <v>138</v>
      </c>
      <c r="B33" s="31">
        <f>+F26</f>
        <v>13.121999999999998</v>
      </c>
      <c r="C33" s="50">
        <v>0</v>
      </c>
      <c r="D33" s="30">
        <v>0.1</v>
      </c>
      <c r="E33" s="31">
        <f>(+D33*B33)+(C33*D33)</f>
        <v>1.3121999999999998</v>
      </c>
      <c r="F33" s="34">
        <f>+B33+C33-E33</f>
        <v>11.8098</v>
      </c>
    </row>
    <row r="34" spans="1:6" ht="12.75">
      <c r="A34" s="40" t="s">
        <v>165</v>
      </c>
      <c r="B34" s="31">
        <f>+F27</f>
        <v>6.560999999999999</v>
      </c>
      <c r="C34" s="50">
        <v>0</v>
      </c>
      <c r="D34" s="30">
        <v>0.1</v>
      </c>
      <c r="E34" s="31">
        <f>(+D34*B34)+(C34*D34)</f>
        <v>0.6560999999999999</v>
      </c>
      <c r="F34" s="34">
        <f>+B34+C34-E34</f>
        <v>5.9049</v>
      </c>
    </row>
    <row r="35" spans="1:6" ht="12.75">
      <c r="A35" s="40" t="s">
        <v>180</v>
      </c>
      <c r="B35" s="31">
        <f>+F28</f>
        <v>0.10240000000000002</v>
      </c>
      <c r="C35" s="50">
        <v>0</v>
      </c>
      <c r="D35" s="30">
        <v>0.6</v>
      </c>
      <c r="E35" s="31">
        <f>(+D35*B35)+(C35*D35)</f>
        <v>0.06144000000000001</v>
      </c>
      <c r="F35" s="34">
        <f>+B35+C35-E35</f>
        <v>0.04096000000000001</v>
      </c>
    </row>
    <row r="36" spans="1:6" ht="12.75">
      <c r="A36" s="40" t="s">
        <v>179</v>
      </c>
      <c r="B36" s="31">
        <f>+F29</f>
        <v>2.29635</v>
      </c>
      <c r="C36" s="50">
        <v>0</v>
      </c>
      <c r="D36" s="30">
        <v>0.1</v>
      </c>
      <c r="E36" s="31">
        <f>(+D36*B36)+(C36*D36)</f>
        <v>0.229635</v>
      </c>
      <c r="F36" s="34">
        <f>+B36+C36-E36</f>
        <v>2.066715</v>
      </c>
    </row>
    <row r="37" spans="1:6" ht="13.5" thickBot="1">
      <c r="A37" s="40" t="s">
        <v>181</v>
      </c>
      <c r="B37" s="31">
        <f>+F30</f>
        <v>0.791015625</v>
      </c>
      <c r="C37" s="50">
        <v>0</v>
      </c>
      <c r="D37" s="30">
        <v>0.25</v>
      </c>
      <c r="E37" s="31">
        <f>(+D37*B37)+(C37*D37)</f>
        <v>0.19775390625</v>
      </c>
      <c r="F37" s="34">
        <f>+B37+C37-E37</f>
        <v>0.59326171875</v>
      </c>
    </row>
    <row r="38" spans="1:6" ht="13.5" thickBot="1">
      <c r="A38" s="42" t="s">
        <v>182</v>
      </c>
      <c r="B38" s="43">
        <f>SUM(B33:B37)</f>
        <v>22.872765624999996</v>
      </c>
      <c r="C38" s="49">
        <f>SUM(C33:C37)</f>
        <v>0</v>
      </c>
      <c r="D38" s="44"/>
      <c r="E38" s="43">
        <f>SUM(E33:E37)</f>
        <v>2.45712890625</v>
      </c>
      <c r="F38" s="45">
        <f>SUM(F33:F37)</f>
        <v>20.415636718749997</v>
      </c>
    </row>
    <row r="39" spans="1:6" ht="13.5" thickBot="1">
      <c r="A39" s="226" t="s">
        <v>185</v>
      </c>
      <c r="B39" s="227"/>
      <c r="C39" s="227"/>
      <c r="D39" s="227"/>
      <c r="E39" s="227"/>
      <c r="F39" s="228"/>
    </row>
    <row r="40" spans="1:6" ht="12.75">
      <c r="A40" s="40" t="s">
        <v>138</v>
      </c>
      <c r="B40" s="31">
        <f>+F33</f>
        <v>11.8098</v>
      </c>
      <c r="C40" s="50">
        <v>0</v>
      </c>
      <c r="D40" s="30">
        <v>0.1</v>
      </c>
      <c r="E40" s="31">
        <f>(+D40*B40)+(C40*D40)</f>
        <v>1.18098</v>
      </c>
      <c r="F40" s="34">
        <f>+B40+C40-E40</f>
        <v>10.62882</v>
      </c>
    </row>
    <row r="41" spans="1:6" ht="12.75">
      <c r="A41" s="40" t="s">
        <v>165</v>
      </c>
      <c r="B41" s="31">
        <f>+F34</f>
        <v>5.9049</v>
      </c>
      <c r="C41" s="50">
        <v>0</v>
      </c>
      <c r="D41" s="30">
        <v>0.1</v>
      </c>
      <c r="E41" s="31">
        <f>(+D41*B41)+(C41*D41)</f>
        <v>0.59049</v>
      </c>
      <c r="F41" s="34">
        <f>+B41+C41-E41</f>
        <v>5.31441</v>
      </c>
    </row>
    <row r="42" spans="1:6" ht="12.75">
      <c r="A42" s="40" t="s">
        <v>180</v>
      </c>
      <c r="B42" s="31">
        <f>+F35</f>
        <v>0.04096000000000001</v>
      </c>
      <c r="C42" s="50">
        <v>0</v>
      </c>
      <c r="D42" s="30">
        <v>0.6</v>
      </c>
      <c r="E42" s="31">
        <f>(+D42*B42)+(C42*D42)</f>
        <v>0.024576000000000004</v>
      </c>
      <c r="F42" s="34">
        <f>+B42+C42-E42</f>
        <v>0.016384000000000006</v>
      </c>
    </row>
    <row r="43" spans="1:6" ht="12.75">
      <c r="A43" s="40" t="s">
        <v>179</v>
      </c>
      <c r="B43" s="31">
        <f>+F36</f>
        <v>2.066715</v>
      </c>
      <c r="C43" s="50">
        <v>0</v>
      </c>
      <c r="D43" s="30">
        <v>0.1</v>
      </c>
      <c r="E43" s="31">
        <f>(+D43*B43)+(C43*D43)</f>
        <v>0.2066715</v>
      </c>
      <c r="F43" s="34">
        <f>+B43+C43-E43</f>
        <v>1.8600434999999997</v>
      </c>
    </row>
    <row r="44" spans="1:6" ht="13.5" thickBot="1">
      <c r="A44" s="40" t="s">
        <v>181</v>
      </c>
      <c r="B44" s="31">
        <f>+F37</f>
        <v>0.59326171875</v>
      </c>
      <c r="C44" s="50">
        <v>0</v>
      </c>
      <c r="D44" s="30">
        <v>0.25</v>
      </c>
      <c r="E44" s="31">
        <f>(+D44*B44)+(C44*D44)</f>
        <v>0.1483154296875</v>
      </c>
      <c r="F44" s="34">
        <f>+B44+C44-E44</f>
        <v>0.4449462890625</v>
      </c>
    </row>
    <row r="45" spans="1:6" ht="13.5" thickBot="1">
      <c r="A45" s="42" t="s">
        <v>182</v>
      </c>
      <c r="B45" s="43">
        <f>SUM(B40:B44)</f>
        <v>20.415636718749997</v>
      </c>
      <c r="C45" s="49">
        <f>SUM(C40:C44)</f>
        <v>0</v>
      </c>
      <c r="D45" s="44"/>
      <c r="E45" s="43">
        <f>SUM(E40:E44)</f>
        <v>2.1510329296874997</v>
      </c>
      <c r="F45" s="45">
        <f>SUM(F40:F44)</f>
        <v>18.264603789062498</v>
      </c>
    </row>
    <row r="46" spans="1:6" ht="13.5" thickBot="1">
      <c r="A46" s="226" t="s">
        <v>186</v>
      </c>
      <c r="B46" s="227"/>
      <c r="C46" s="227"/>
      <c r="D46" s="227"/>
      <c r="E46" s="227"/>
      <c r="F46" s="228"/>
    </row>
    <row r="47" spans="1:6" ht="12.75">
      <c r="A47" s="40" t="s">
        <v>138</v>
      </c>
      <c r="B47" s="31">
        <f>+F40</f>
        <v>10.62882</v>
      </c>
      <c r="C47" s="50">
        <v>0</v>
      </c>
      <c r="D47" s="30">
        <v>0.1</v>
      </c>
      <c r="E47" s="31">
        <f>(+D47*B47)+(C47*D47)</f>
        <v>1.0628819999999999</v>
      </c>
      <c r="F47" s="34">
        <f>+B47+C47-E47</f>
        <v>9.565938</v>
      </c>
    </row>
    <row r="48" spans="1:6" ht="12.75">
      <c r="A48" s="40" t="s">
        <v>165</v>
      </c>
      <c r="B48" s="31">
        <f>+F41</f>
        <v>5.31441</v>
      </c>
      <c r="C48" s="50">
        <v>0</v>
      </c>
      <c r="D48" s="30">
        <v>0.1</v>
      </c>
      <c r="E48" s="31">
        <f>(+D48*B48)+(C48*D48)</f>
        <v>0.5314409999999999</v>
      </c>
      <c r="F48" s="34">
        <f>+B48+C48-E48</f>
        <v>4.782969</v>
      </c>
    </row>
    <row r="49" spans="1:6" ht="12.75">
      <c r="A49" s="40" t="s">
        <v>180</v>
      </c>
      <c r="B49" s="31">
        <f>+F42</f>
        <v>0.016384000000000006</v>
      </c>
      <c r="C49" s="50">
        <v>0</v>
      </c>
      <c r="D49" s="30">
        <v>0.6</v>
      </c>
      <c r="E49" s="31">
        <f>(+D49*B49)+(C49*D49)</f>
        <v>0.009830400000000003</v>
      </c>
      <c r="F49" s="34">
        <f>+B49+C49-E49</f>
        <v>0.006553600000000003</v>
      </c>
    </row>
    <row r="50" spans="1:6" ht="12.75">
      <c r="A50" s="40" t="s">
        <v>179</v>
      </c>
      <c r="B50" s="31">
        <f>+F43</f>
        <v>1.8600434999999997</v>
      </c>
      <c r="C50" s="50">
        <v>0</v>
      </c>
      <c r="D50" s="30">
        <v>0.1</v>
      </c>
      <c r="E50" s="31">
        <f>(+D50*B50)+(C50*D50)</f>
        <v>0.18600434999999998</v>
      </c>
      <c r="F50" s="34">
        <f>+B50+C50-E50</f>
        <v>1.6740391499999998</v>
      </c>
    </row>
    <row r="51" spans="1:6" ht="13.5" thickBot="1">
      <c r="A51" s="40" t="s">
        <v>181</v>
      </c>
      <c r="B51" s="31">
        <f>+F44</f>
        <v>0.4449462890625</v>
      </c>
      <c r="C51" s="50">
        <v>0</v>
      </c>
      <c r="D51" s="30">
        <v>0.25</v>
      </c>
      <c r="E51" s="31">
        <f>(+D51*B51)+(C51*D51)</f>
        <v>0.111236572265625</v>
      </c>
      <c r="F51" s="34">
        <f>+B51+C51-E51</f>
        <v>0.333709716796875</v>
      </c>
    </row>
    <row r="52" spans="1:6" ht="13.5" thickBot="1">
      <c r="A52" s="42" t="s">
        <v>182</v>
      </c>
      <c r="B52" s="43">
        <f>SUM(B47:B51)</f>
        <v>18.264603789062498</v>
      </c>
      <c r="C52" s="49">
        <f>SUM(C47:C51)</f>
        <v>0</v>
      </c>
      <c r="D52" s="44"/>
      <c r="E52" s="43">
        <f>SUM(E47:E51)</f>
        <v>1.9013943222656247</v>
      </c>
      <c r="F52" s="45">
        <f>SUM(F47:F51)</f>
        <v>16.363209466796874</v>
      </c>
    </row>
    <row r="53" spans="1:6" ht="13.5" thickBot="1">
      <c r="A53" s="226" t="s">
        <v>187</v>
      </c>
      <c r="B53" s="227"/>
      <c r="C53" s="227"/>
      <c r="D53" s="227"/>
      <c r="E53" s="227"/>
      <c r="F53" s="228"/>
    </row>
    <row r="54" spans="1:6" ht="12.75">
      <c r="A54" s="40" t="s">
        <v>138</v>
      </c>
      <c r="B54" s="31">
        <f>+F47</f>
        <v>9.565938</v>
      </c>
      <c r="C54" s="50">
        <v>0</v>
      </c>
      <c r="D54" s="30">
        <v>0.1</v>
      </c>
      <c r="E54" s="31">
        <f>(+D54*B54)+(C54*D54)</f>
        <v>0.9565937999999999</v>
      </c>
      <c r="F54" s="34">
        <f>+B54+C54-E54</f>
        <v>8.609344199999999</v>
      </c>
    </row>
    <row r="55" spans="1:6" ht="12.75">
      <c r="A55" s="40" t="s">
        <v>165</v>
      </c>
      <c r="B55" s="31">
        <f>+F48</f>
        <v>4.782969</v>
      </c>
      <c r="C55" s="50">
        <v>0</v>
      </c>
      <c r="D55" s="30">
        <v>0.1</v>
      </c>
      <c r="E55" s="31">
        <f>(+D55*B55)+(C55*D55)</f>
        <v>0.47829689999999997</v>
      </c>
      <c r="F55" s="34">
        <f>+B55+C55-E55</f>
        <v>4.3046720999999994</v>
      </c>
    </row>
    <row r="56" spans="1:6" ht="12.75">
      <c r="A56" s="40" t="s">
        <v>180</v>
      </c>
      <c r="B56" s="31">
        <f>+F49</f>
        <v>0.006553600000000003</v>
      </c>
      <c r="C56" s="50">
        <v>0</v>
      </c>
      <c r="D56" s="30">
        <v>0.6</v>
      </c>
      <c r="E56" s="31">
        <f>(+D56*B56)+(C56*D56)</f>
        <v>0.003932160000000001</v>
      </c>
      <c r="F56" s="34">
        <f>+B56+C56-E56</f>
        <v>0.002621440000000002</v>
      </c>
    </row>
    <row r="57" spans="1:6" ht="12.75">
      <c r="A57" s="40" t="s">
        <v>179</v>
      </c>
      <c r="B57" s="31">
        <f>+F50</f>
        <v>1.6740391499999998</v>
      </c>
      <c r="C57" s="50">
        <v>0</v>
      </c>
      <c r="D57" s="30">
        <v>0.1</v>
      </c>
      <c r="E57" s="31">
        <f>(+D57*B57)+(C57*D57)</f>
        <v>0.167403915</v>
      </c>
      <c r="F57" s="34">
        <f>+B57+C57-E57</f>
        <v>1.5066352349999999</v>
      </c>
    </row>
    <row r="58" spans="1:6" ht="13.5" thickBot="1">
      <c r="A58" s="40" t="s">
        <v>181</v>
      </c>
      <c r="B58" s="31">
        <f>+F51</f>
        <v>0.333709716796875</v>
      </c>
      <c r="C58" s="50">
        <v>0</v>
      </c>
      <c r="D58" s="30">
        <v>0.25</v>
      </c>
      <c r="E58" s="31">
        <f>(+D58*B58)+(C58*D58)</f>
        <v>0.08342742919921875</v>
      </c>
      <c r="F58" s="34">
        <f>+B58+C58-E58</f>
        <v>0.25028228759765625</v>
      </c>
    </row>
    <row r="59" spans="1:6" ht="13.5" thickBot="1">
      <c r="A59" s="42" t="s">
        <v>182</v>
      </c>
      <c r="B59" s="43">
        <f>SUM(B54:B58)</f>
        <v>16.363209466796874</v>
      </c>
      <c r="C59" s="49">
        <f>SUM(C54:C58)</f>
        <v>0</v>
      </c>
      <c r="D59" s="44"/>
      <c r="E59" s="43">
        <f>SUM(E54:E58)</f>
        <v>1.6896542041992186</v>
      </c>
      <c r="F59" s="45">
        <f>SUM(F54:F58)</f>
        <v>14.673555262597654</v>
      </c>
    </row>
    <row r="61" spans="1:9" ht="12.75">
      <c r="A61" s="54" t="s">
        <v>188</v>
      </c>
      <c r="B61">
        <v>1</v>
      </c>
      <c r="C61" s="46">
        <v>2</v>
      </c>
      <c r="D61" s="55">
        <v>0.03</v>
      </c>
      <c r="E61">
        <v>4</v>
      </c>
      <c r="F61">
        <v>5</v>
      </c>
      <c r="G61">
        <v>6</v>
      </c>
      <c r="H61">
        <v>7</v>
      </c>
      <c r="I61">
        <v>8</v>
      </c>
    </row>
    <row r="62" spans="1:9" ht="12.75">
      <c r="A62" s="54" t="s">
        <v>189</v>
      </c>
      <c r="B62" s="3">
        <f>+B10</f>
        <v>40</v>
      </c>
      <c r="C62" s="46">
        <f>+B17</f>
        <v>33.625</v>
      </c>
      <c r="D62" s="3">
        <f>+B24</f>
        <v>29.18125</v>
      </c>
      <c r="E62" s="3">
        <f>+B31</f>
        <v>25.7321875</v>
      </c>
      <c r="F62" s="3">
        <f>+E64</f>
        <v>22.872765624999996</v>
      </c>
      <c r="G62" s="3">
        <f>+F64+C45</f>
        <v>20.415636718749997</v>
      </c>
      <c r="H62" s="3">
        <f>+G64</f>
        <v>18.264603789062498</v>
      </c>
      <c r="I62" s="3">
        <f>+H64</f>
        <v>16.363209466796874</v>
      </c>
    </row>
    <row r="63" spans="1:9" ht="12.75">
      <c r="A63" s="54" t="s">
        <v>176</v>
      </c>
      <c r="B63" s="3">
        <f>+E10</f>
        <v>6.375</v>
      </c>
      <c r="C63" s="46">
        <f>+E17</f>
        <v>4.44375</v>
      </c>
      <c r="D63" s="3">
        <f>+E24</f>
        <v>3.4490625</v>
      </c>
      <c r="E63" s="3">
        <f>+E31</f>
        <v>2.859421875</v>
      </c>
      <c r="F63" s="3">
        <f>+E38</f>
        <v>2.45712890625</v>
      </c>
      <c r="G63" s="3">
        <f>+E45</f>
        <v>2.1510329296874997</v>
      </c>
      <c r="H63" s="3">
        <f>+E52</f>
        <v>1.9013943222656247</v>
      </c>
      <c r="I63" s="3">
        <f>+E59</f>
        <v>1.6896542041992186</v>
      </c>
    </row>
    <row r="64" spans="1:10" ht="12.75">
      <c r="A64" s="54" t="s">
        <v>190</v>
      </c>
      <c r="B64" s="3">
        <f>+F10</f>
        <v>33.625</v>
      </c>
      <c r="C64" s="46">
        <f>+F17</f>
        <v>29.18125</v>
      </c>
      <c r="D64" s="3">
        <f>+F24</f>
        <v>25.7321875</v>
      </c>
      <c r="E64" s="3">
        <f>+F31</f>
        <v>22.872765624999996</v>
      </c>
      <c r="F64" s="3">
        <f>+F62-F63</f>
        <v>20.415636718749997</v>
      </c>
      <c r="G64" s="3">
        <f>+G62-G63</f>
        <v>18.264603789062498</v>
      </c>
      <c r="H64" s="3">
        <f>+H62-H63</f>
        <v>16.363209466796874</v>
      </c>
      <c r="I64" s="3">
        <f>+I62-I63</f>
        <v>14.673555262597656</v>
      </c>
      <c r="J64" s="3"/>
    </row>
    <row r="65" ht="12.75">
      <c r="A65" s="54"/>
    </row>
  </sheetData>
  <mergeCells count="9">
    <mergeCell ref="A53:F53"/>
    <mergeCell ref="A4:F4"/>
    <mergeCell ref="A11:F11"/>
    <mergeCell ref="A18:F18"/>
    <mergeCell ref="A25:F25"/>
    <mergeCell ref="A1:F1"/>
    <mergeCell ref="A32:F32"/>
    <mergeCell ref="A39:F39"/>
    <mergeCell ref="A46:F46"/>
  </mergeCells>
  <printOptions horizontalCentered="1"/>
  <pageMargins left="0.75" right="0.75" top="0.71" bottom="1" header="0.5" footer="0.5"/>
  <pageSetup horizontalDpi="300" verticalDpi="3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2.421875" style="13" customWidth="1"/>
    <col min="2" max="8" width="9.28125" style="86" bestFit="1" customWidth="1"/>
    <col min="9" max="9" width="9.57421875" style="86" bestFit="1" customWidth="1"/>
    <col min="10" max="16384" width="9.140625" style="86" customWidth="1"/>
  </cols>
  <sheetData>
    <row r="1" spans="1:9" ht="25.5" customHeight="1" thickBot="1">
      <c r="A1" s="258" t="s">
        <v>153</v>
      </c>
      <c r="B1" s="259"/>
      <c r="C1" s="259"/>
      <c r="D1" s="259"/>
      <c r="E1" s="259"/>
      <c r="F1" s="259"/>
      <c r="G1" s="259"/>
      <c r="H1" s="259"/>
      <c r="I1" s="260"/>
    </row>
    <row r="2" spans="1:9" ht="13.5" thickBot="1">
      <c r="A2" s="163"/>
      <c r="B2" s="164"/>
      <c r="C2" s="164"/>
      <c r="D2" s="164"/>
      <c r="E2" s="164"/>
      <c r="F2" s="164"/>
      <c r="G2" s="164"/>
      <c r="H2" s="164"/>
      <c r="I2" s="165"/>
    </row>
    <row r="3" spans="1:9" ht="13.5" thickBot="1">
      <c r="A3" s="122" t="s">
        <v>159</v>
      </c>
      <c r="B3" s="89" t="s">
        <v>0</v>
      </c>
      <c r="C3" s="89" t="s">
        <v>1</v>
      </c>
      <c r="D3" s="89" t="s">
        <v>92</v>
      </c>
      <c r="E3" s="89" t="s">
        <v>93</v>
      </c>
      <c r="F3" s="89" t="s">
        <v>94</v>
      </c>
      <c r="G3" s="89" t="s">
        <v>197</v>
      </c>
      <c r="H3" s="89" t="s">
        <v>198</v>
      </c>
      <c r="I3" s="90" t="s">
        <v>199</v>
      </c>
    </row>
    <row r="4" spans="1:9" ht="13.5" thickBot="1">
      <c r="A4" s="166" t="s">
        <v>195</v>
      </c>
      <c r="B4" s="164"/>
      <c r="C4" s="164"/>
      <c r="D4" s="164"/>
      <c r="E4" s="164"/>
      <c r="F4" s="164"/>
      <c r="G4" s="164"/>
      <c r="H4" s="164"/>
      <c r="I4" s="165"/>
    </row>
    <row r="5" spans="1:9" ht="26.25">
      <c r="A5" s="88" t="s">
        <v>155</v>
      </c>
      <c r="B5" s="143">
        <f>COP_MOF!$D$5+COP_MOF!$D$7</f>
        <v>84.84848484848484</v>
      </c>
      <c r="C5" s="143">
        <f>COP_MOF!$D$5+COP_MOF!$D$7</f>
        <v>84.84848484848484</v>
      </c>
      <c r="D5" s="143">
        <f>COP_MOF!$D$5+COP_MOF!$D$7</f>
        <v>84.84848484848484</v>
      </c>
      <c r="E5" s="143">
        <f>COP_MOF!$D$5+COP_MOF!$D$7</f>
        <v>84.84848484848484</v>
      </c>
      <c r="F5" s="143">
        <f>COP_MOF!$D$5+COP_MOF!$D$7</f>
        <v>84.84848484848484</v>
      </c>
      <c r="G5" s="143">
        <f>COP_MOF!$D$5+COP_MOF!$D$7</f>
        <v>84.84848484848484</v>
      </c>
      <c r="H5" s="143">
        <f>COP_MOF!$D$5+COP_MOF!$D$7</f>
        <v>84.84848484848484</v>
      </c>
      <c r="I5" s="144">
        <f>COP_MOF!$D$5+COP_MOF!$D$7</f>
        <v>84.84848484848484</v>
      </c>
    </row>
    <row r="6" spans="1:9" ht="12.75">
      <c r="A6" s="73"/>
      <c r="B6" s="142"/>
      <c r="C6" s="142"/>
      <c r="D6" s="142"/>
      <c r="E6" s="142"/>
      <c r="F6" s="142"/>
      <c r="G6" s="142"/>
      <c r="H6" s="142"/>
      <c r="I6" s="145"/>
    </row>
    <row r="7" spans="1:9" ht="12.75">
      <c r="A7" s="74" t="s">
        <v>118</v>
      </c>
      <c r="B7" s="142">
        <f>interest!B49</f>
        <v>55.151515151515156</v>
      </c>
      <c r="C7" s="142">
        <f>interest!C49</f>
        <v>44.121212121212125</v>
      </c>
      <c r="D7" s="142">
        <f>interest!D49</f>
        <v>33.09090909090909</v>
      </c>
      <c r="E7" s="142">
        <f>interest!E49</f>
        <v>22.060606060606062</v>
      </c>
      <c r="F7" s="142">
        <f>interest!F49</f>
        <v>11.030303030303031</v>
      </c>
      <c r="G7" s="142">
        <f>interest!G49</f>
        <v>0.0003030303030318038</v>
      </c>
      <c r="H7" s="142">
        <f>interest!H49</f>
        <v>0</v>
      </c>
      <c r="I7" s="145">
        <f>interest!I49</f>
        <v>0</v>
      </c>
    </row>
    <row r="8" spans="1:9" ht="12.75">
      <c r="A8" s="73"/>
      <c r="B8" s="142"/>
      <c r="C8" s="142"/>
      <c r="D8" s="142"/>
      <c r="E8" s="142"/>
      <c r="F8" s="142"/>
      <c r="G8" s="142"/>
      <c r="H8" s="142"/>
      <c r="I8" s="145"/>
    </row>
    <row r="9" spans="1:9" ht="13.5" thickBot="1">
      <c r="A9" s="77" t="s">
        <v>156</v>
      </c>
      <c r="B9" s="146">
        <f>'Profit&amp;Loss'!B28</f>
        <v>-7.171969696969694</v>
      </c>
      <c r="C9" s="146">
        <f>B9+'Profit&amp;Loss'!C28</f>
        <v>-1.513046401515143</v>
      </c>
      <c r="D9" s="146">
        <f>C9+'Profit&amp;Loss'!D28</f>
        <v>27.784569649621222</v>
      </c>
      <c r="E9" s="146">
        <f>D9+'Profit&amp;Loss'!E28</f>
        <v>67.32873384706443</v>
      </c>
      <c r="F9" s="146">
        <f>E9+'Profit&amp;Loss'!F28</f>
        <v>125.4322291712832</v>
      </c>
      <c r="G9" s="146">
        <f>F9+'Profit&amp;Loss'!G28</f>
        <v>206.07249697012912</v>
      </c>
      <c r="H9" s="146">
        <f>G9+'Profit&amp;Loss'!H28</f>
        <v>294.8264017981272</v>
      </c>
      <c r="I9" s="147">
        <f>H9+'Profit&amp;Loss'!I28</f>
        <v>387.2446172244695</v>
      </c>
    </row>
    <row r="10" spans="1:9" ht="13.5" thickBot="1">
      <c r="A10" s="163"/>
      <c r="B10" s="167"/>
      <c r="C10" s="167"/>
      <c r="D10" s="167"/>
      <c r="E10" s="167"/>
      <c r="F10" s="167"/>
      <c r="G10" s="167"/>
      <c r="H10" s="167"/>
      <c r="I10" s="168"/>
    </row>
    <row r="11" spans="1:9" ht="13.5" thickBot="1">
      <c r="A11" s="157" t="s">
        <v>167</v>
      </c>
      <c r="B11" s="158">
        <f>SUM(B5:B9)</f>
        <v>132.82803030303032</v>
      </c>
      <c r="C11" s="158">
        <f aca="true" t="shared" si="0" ref="C11:I11">SUM(C5:C9)</f>
        <v>127.45665056818183</v>
      </c>
      <c r="D11" s="158">
        <f t="shared" si="0"/>
        <v>145.72396358901517</v>
      </c>
      <c r="E11" s="158">
        <f t="shared" si="0"/>
        <v>174.23782475615533</v>
      </c>
      <c r="F11" s="158">
        <f t="shared" si="0"/>
        <v>221.3110170500711</v>
      </c>
      <c r="G11" s="158">
        <f t="shared" si="0"/>
        <v>290.921284848917</v>
      </c>
      <c r="H11" s="158">
        <f t="shared" si="0"/>
        <v>379.6748866466121</v>
      </c>
      <c r="I11" s="159">
        <f t="shared" si="0"/>
        <v>472.09310207295437</v>
      </c>
    </row>
    <row r="12" spans="1:9" s="162" customFormat="1" ht="13.5" thickBot="1">
      <c r="A12" s="160"/>
      <c r="B12" s="161"/>
      <c r="C12" s="161"/>
      <c r="D12" s="161"/>
      <c r="E12" s="161"/>
      <c r="F12" s="161"/>
      <c r="G12" s="161"/>
      <c r="H12" s="161"/>
      <c r="I12" s="161"/>
    </row>
    <row r="13" spans="1:9" ht="13.5" thickBot="1">
      <c r="A13" s="171" t="s">
        <v>191</v>
      </c>
      <c r="B13" s="169"/>
      <c r="C13" s="169"/>
      <c r="D13" s="169"/>
      <c r="E13" s="169"/>
      <c r="F13" s="169"/>
      <c r="G13" s="169"/>
      <c r="H13" s="169"/>
      <c r="I13" s="170"/>
    </row>
    <row r="14" spans="1:9" ht="12.75">
      <c r="A14" s="151" t="s">
        <v>189</v>
      </c>
      <c r="B14" s="152">
        <f>+Depriciation!B62</f>
        <v>40</v>
      </c>
      <c r="C14" s="152">
        <f>+Depriciation!C62</f>
        <v>33.625</v>
      </c>
      <c r="D14" s="152">
        <f>+Depriciation!D62</f>
        <v>29.18125</v>
      </c>
      <c r="E14" s="152">
        <f>+Depriciation!E62</f>
        <v>25.7321875</v>
      </c>
      <c r="F14" s="152">
        <f>+Depriciation!F62</f>
        <v>22.872765624999996</v>
      </c>
      <c r="G14" s="152">
        <f>+Depriciation!G62</f>
        <v>20.415636718749997</v>
      </c>
      <c r="H14" s="152">
        <f>+Depriciation!H62</f>
        <v>18.264603789062498</v>
      </c>
      <c r="I14" s="153">
        <f>+Depriciation!I62</f>
        <v>16.363209466796874</v>
      </c>
    </row>
    <row r="15" spans="1:9" ht="12.75">
      <c r="A15" s="73" t="s">
        <v>176</v>
      </c>
      <c r="B15" s="142">
        <f>+Depriciation!B63</f>
        <v>6.375</v>
      </c>
      <c r="C15" s="142">
        <f>+Depriciation!C63</f>
        <v>4.44375</v>
      </c>
      <c r="D15" s="142">
        <f>+Depriciation!D63</f>
        <v>3.4490625</v>
      </c>
      <c r="E15" s="142">
        <f>+Depriciation!E63</f>
        <v>2.859421875</v>
      </c>
      <c r="F15" s="142">
        <f>+Depriciation!F63</f>
        <v>2.45712890625</v>
      </c>
      <c r="G15" s="142">
        <f>+Depriciation!G63</f>
        <v>2.1510329296874997</v>
      </c>
      <c r="H15" s="142">
        <f>+Depriciation!H63</f>
        <v>1.9013943222656247</v>
      </c>
      <c r="I15" s="145">
        <f>+Depriciation!I63</f>
        <v>1.6896542041992186</v>
      </c>
    </row>
    <row r="16" spans="1:9" ht="13.5" thickBot="1">
      <c r="A16" s="154" t="s">
        <v>190</v>
      </c>
      <c r="B16" s="155">
        <f>+Depriciation!B64</f>
        <v>33.625</v>
      </c>
      <c r="C16" s="155">
        <f>+Depriciation!C64</f>
        <v>29.18125</v>
      </c>
      <c r="D16" s="155">
        <f>+Depriciation!D64</f>
        <v>25.7321875</v>
      </c>
      <c r="E16" s="155">
        <f>+Depriciation!E64</f>
        <v>22.872765624999996</v>
      </c>
      <c r="F16" s="155">
        <f>+Depriciation!F64</f>
        <v>20.415636718749997</v>
      </c>
      <c r="G16" s="155">
        <f>+Depriciation!G64</f>
        <v>18.264603789062498</v>
      </c>
      <c r="H16" s="155">
        <f>+Depriciation!H64</f>
        <v>16.363209466796874</v>
      </c>
      <c r="I16" s="156">
        <f>+Depriciation!I64</f>
        <v>14.673555262597656</v>
      </c>
    </row>
    <row r="17" spans="1:9" ht="13.5" thickBot="1">
      <c r="A17" s="163"/>
      <c r="B17" s="167"/>
      <c r="C17" s="167"/>
      <c r="D17" s="167"/>
      <c r="E17" s="167"/>
      <c r="F17" s="167"/>
      <c r="G17" s="167"/>
      <c r="H17" s="167"/>
      <c r="I17" s="168"/>
    </row>
    <row r="18" spans="1:9" ht="27" thickBot="1">
      <c r="A18" s="211" t="s">
        <v>218</v>
      </c>
      <c r="B18" s="167"/>
      <c r="C18" s="167"/>
      <c r="D18" s="167"/>
      <c r="E18" s="167"/>
      <c r="F18" s="167"/>
      <c r="G18" s="167"/>
      <c r="H18" s="167"/>
      <c r="I18" s="168"/>
    </row>
    <row r="19" spans="1:10" ht="26.25">
      <c r="A19" s="151" t="s">
        <v>177</v>
      </c>
      <c r="B19" s="152">
        <f>+expenditure!B62</f>
        <v>100</v>
      </c>
      <c r="C19" s="152">
        <f>+expenditure!C62</f>
        <v>80</v>
      </c>
      <c r="D19" s="152">
        <f>+expenditure!D62</f>
        <v>92</v>
      </c>
      <c r="E19" s="152">
        <f>+expenditure!E62</f>
        <v>64</v>
      </c>
      <c r="F19" s="152">
        <f>+expenditure!F62</f>
        <v>36</v>
      </c>
      <c r="G19" s="152">
        <f>+expenditure!G62</f>
        <v>8</v>
      </c>
      <c r="H19" s="152">
        <f>+expenditure!H62</f>
        <v>0</v>
      </c>
      <c r="I19" s="153">
        <f>+expenditure!I62</f>
        <v>0</v>
      </c>
      <c r="J19" s="87"/>
    </row>
    <row r="20" spans="1:10" ht="26.25">
      <c r="A20" s="73" t="s">
        <v>227</v>
      </c>
      <c r="B20" s="142">
        <f>+expenditure!B63</f>
        <v>0</v>
      </c>
      <c r="C20" s="142">
        <f>+expenditure!C63</f>
        <v>40</v>
      </c>
      <c r="D20" s="142">
        <f>+expenditure!D63</f>
        <v>0</v>
      </c>
      <c r="E20" s="142">
        <f>+expenditure!E63</f>
        <v>0</v>
      </c>
      <c r="F20" s="142">
        <f>+expenditure!F63</f>
        <v>0</v>
      </c>
      <c r="G20" s="142">
        <f>+expenditure!G63</f>
        <v>0</v>
      </c>
      <c r="H20" s="142">
        <f>+expenditure!H63</f>
        <v>0</v>
      </c>
      <c r="I20" s="145">
        <f>+expenditure!I63</f>
        <v>0</v>
      </c>
      <c r="J20" s="87"/>
    </row>
    <row r="21" spans="1:10" ht="12.75">
      <c r="A21" s="73" t="s">
        <v>221</v>
      </c>
      <c r="B21" s="142">
        <f>+expenditure!B64</f>
        <v>20</v>
      </c>
      <c r="C21" s="142">
        <f>+expenditure!C64</f>
        <v>28</v>
      </c>
      <c r="D21" s="142">
        <f>+expenditure!D64</f>
        <v>28</v>
      </c>
      <c r="E21" s="142">
        <f>+expenditure!E64</f>
        <v>28</v>
      </c>
      <c r="F21" s="142">
        <f>+expenditure!F64</f>
        <v>28</v>
      </c>
      <c r="G21" s="142">
        <f>+expenditure!G64</f>
        <v>8</v>
      </c>
      <c r="H21" s="142">
        <f>+expenditure!H64</f>
        <v>0</v>
      </c>
      <c r="I21" s="145">
        <f>+expenditure!I64</f>
        <v>0</v>
      </c>
      <c r="J21" s="87"/>
    </row>
    <row r="22" spans="1:9" ht="27" thickBot="1">
      <c r="A22" s="154" t="s">
        <v>178</v>
      </c>
      <c r="B22" s="155">
        <f>+expenditure!B65</f>
        <v>80</v>
      </c>
      <c r="C22" s="155">
        <f>+expenditure!C65</f>
        <v>92</v>
      </c>
      <c r="D22" s="155">
        <f>+expenditure!D65</f>
        <v>64</v>
      </c>
      <c r="E22" s="155">
        <f>+expenditure!E65</f>
        <v>36</v>
      </c>
      <c r="F22" s="155">
        <f>+expenditure!F65</f>
        <v>8</v>
      </c>
      <c r="G22" s="155">
        <f>+expenditure!G65</f>
        <v>0</v>
      </c>
      <c r="H22" s="155">
        <f>+expenditure!H65</f>
        <v>0</v>
      </c>
      <c r="I22" s="156">
        <f>+expenditure!I65</f>
        <v>0</v>
      </c>
    </row>
    <row r="23" spans="1:9" ht="13.5" thickBot="1">
      <c r="A23" s="148" t="s">
        <v>192</v>
      </c>
      <c r="B23" s="149">
        <f>'CF+VAL'!B21</f>
        <v>19.203030303030303</v>
      </c>
      <c r="C23" s="149">
        <f>'CF+VAL'!C21</f>
        <v>6.275400568181823</v>
      </c>
      <c r="D23" s="149">
        <f>'CF+VAL'!D21</f>
        <v>55.991776089015154</v>
      </c>
      <c r="E23" s="149">
        <f>'CF+VAL'!E21</f>
        <v>115.36505913115532</v>
      </c>
      <c r="F23" s="149">
        <f>'CF+VAL'!F21</f>
        <v>192.89538033132106</v>
      </c>
      <c r="G23" s="149">
        <f>'CF+VAL'!G21</f>
        <v>272.65668105985446</v>
      </c>
      <c r="H23" s="149">
        <f>'CF+VAL'!H21</f>
        <v>363.3119802101181</v>
      </c>
      <c r="I23" s="150">
        <f>'CF+VAL'!I21</f>
        <v>457.41984984065965</v>
      </c>
    </row>
    <row r="24" spans="1:9" ht="13.5" thickBot="1">
      <c r="A24" s="163"/>
      <c r="B24" s="167"/>
      <c r="C24" s="167"/>
      <c r="D24" s="167"/>
      <c r="E24" s="167"/>
      <c r="F24" s="167"/>
      <c r="G24" s="167"/>
      <c r="H24" s="167"/>
      <c r="I24" s="168"/>
    </row>
    <row r="25" spans="1:9" ht="13.5" thickBot="1">
      <c r="A25" s="157" t="s">
        <v>167</v>
      </c>
      <c r="B25" s="158">
        <f>+B23+B22+B16</f>
        <v>132.8280303030303</v>
      </c>
      <c r="C25" s="158">
        <f aca="true" t="shared" si="1" ref="C25:I25">+C23+C22+C16</f>
        <v>127.45665056818183</v>
      </c>
      <c r="D25" s="158">
        <f t="shared" si="1"/>
        <v>145.72396358901517</v>
      </c>
      <c r="E25" s="158">
        <f t="shared" si="1"/>
        <v>174.2378247561553</v>
      </c>
      <c r="F25" s="158">
        <f t="shared" si="1"/>
        <v>221.31101705007106</v>
      </c>
      <c r="G25" s="158">
        <f t="shared" si="1"/>
        <v>290.92128484891697</v>
      </c>
      <c r="H25" s="158">
        <f t="shared" si="1"/>
        <v>379.675189676915</v>
      </c>
      <c r="I25" s="159">
        <f t="shared" si="1"/>
        <v>472.0934051032573</v>
      </c>
    </row>
    <row r="26" spans="2:9" ht="12.75">
      <c r="B26" s="87">
        <f>+B11-B25</f>
        <v>0</v>
      </c>
      <c r="C26" s="87">
        <f aca="true" t="shared" si="2" ref="C26:I26">+C11-C25</f>
        <v>0</v>
      </c>
      <c r="D26" s="87">
        <f t="shared" si="2"/>
        <v>0</v>
      </c>
      <c r="E26" s="87">
        <f t="shared" si="2"/>
        <v>0</v>
      </c>
      <c r="F26" s="87">
        <f t="shared" si="2"/>
        <v>0</v>
      </c>
      <c r="G26" s="87">
        <f t="shared" si="2"/>
        <v>0</v>
      </c>
      <c r="H26" s="87">
        <f>+H11-H25</f>
        <v>-0.0003030303029163406</v>
      </c>
      <c r="I26" s="87">
        <f t="shared" si="2"/>
        <v>-0.0003030303029163406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7"/>
  <sheetViews>
    <sheetView tabSelected="1" view="pageBreakPreview" zoomScale="60" zoomScaleNormal="55" workbookViewId="0" topLeftCell="A10">
      <selection activeCell="A12" sqref="A12"/>
    </sheetView>
  </sheetViews>
  <sheetFormatPr defaultColWidth="9.140625" defaultRowHeight="12.75"/>
  <cols>
    <col min="1" max="1" width="22.421875" style="0" customWidth="1"/>
    <col min="2" max="2" width="13.8515625" style="0" bestFit="1" customWidth="1"/>
    <col min="3" max="3" width="10.140625" style="0" bestFit="1" customWidth="1"/>
    <col min="4" max="7" width="9.28125" style="0" bestFit="1" customWidth="1"/>
  </cols>
  <sheetData>
    <row r="1" ht="13.5" thickBot="1"/>
    <row r="2" spans="1:2" ht="12.75">
      <c r="A2" s="203" t="s">
        <v>118</v>
      </c>
      <c r="B2" s="204">
        <f>+COP_MOF!D8</f>
        <v>55.151515151515156</v>
      </c>
    </row>
    <row r="3" spans="1:2" ht="12.75">
      <c r="A3" s="205" t="s">
        <v>152</v>
      </c>
      <c r="B3" s="206">
        <v>0.145</v>
      </c>
    </row>
    <row r="4" spans="1:2" ht="12.75">
      <c r="A4" s="205" t="s">
        <v>242</v>
      </c>
      <c r="B4" s="209" t="s">
        <v>243</v>
      </c>
    </row>
    <row r="5" spans="1:2" ht="13.5" thickBot="1">
      <c r="A5" s="207" t="s">
        <v>217</v>
      </c>
      <c r="B5" s="208">
        <v>20</v>
      </c>
    </row>
    <row r="6" ht="13.5" thickBot="1"/>
    <row r="7" spans="1:7" ht="15.75" thickBot="1">
      <c r="A7" s="261" t="s">
        <v>244</v>
      </c>
      <c r="B7" s="262"/>
      <c r="C7" s="262"/>
      <c r="D7" s="262"/>
      <c r="E7" s="262"/>
      <c r="F7" s="263"/>
      <c r="G7" s="210"/>
    </row>
    <row r="8" ht="13.5" thickBot="1"/>
    <row r="9" spans="1:6" ht="13.5" thickBot="1">
      <c r="A9" s="133" t="s">
        <v>241</v>
      </c>
      <c r="B9" s="193"/>
      <c r="C9" s="194" t="s">
        <v>120</v>
      </c>
      <c r="D9" s="194" t="s">
        <v>121</v>
      </c>
      <c r="E9" s="194" t="s">
        <v>122</v>
      </c>
      <c r="F9" s="195" t="s">
        <v>111</v>
      </c>
    </row>
    <row r="10" spans="1:7" ht="12.75">
      <c r="A10" s="191">
        <v>36895</v>
      </c>
      <c r="B10" s="60"/>
      <c r="C10" s="37">
        <f>+B2</f>
        <v>55.151515151515156</v>
      </c>
      <c r="D10" s="192">
        <v>0</v>
      </c>
      <c r="E10" s="37">
        <f>C10-D10</f>
        <v>55.151515151515156</v>
      </c>
      <c r="F10" s="38">
        <f>E10*i/4</f>
        <v>1.9992424242424243</v>
      </c>
      <c r="G10" s="3"/>
    </row>
    <row r="11" spans="1:7" ht="12.75">
      <c r="A11" s="190">
        <v>36898</v>
      </c>
      <c r="B11" s="60"/>
      <c r="C11" s="31">
        <f>E10</f>
        <v>55.151515151515156</v>
      </c>
      <c r="D11" s="67">
        <v>0</v>
      </c>
      <c r="E11" s="31">
        <f aca="true" t="shared" si="0" ref="E11:E38">C11-D11</f>
        <v>55.151515151515156</v>
      </c>
      <c r="F11" s="34">
        <f aca="true" t="shared" si="1" ref="F11:F38">E11*i/4</f>
        <v>1.9992424242424243</v>
      </c>
      <c r="G11" s="3"/>
    </row>
    <row r="12" spans="1:7" ht="12.75">
      <c r="A12" s="190">
        <v>36901</v>
      </c>
      <c r="B12" s="60"/>
      <c r="C12" s="31">
        <f aca="true" t="shared" si="2" ref="C12:C38">E11</f>
        <v>55.151515151515156</v>
      </c>
      <c r="D12" s="67">
        <v>0</v>
      </c>
      <c r="E12" s="31">
        <f t="shared" si="0"/>
        <v>55.151515151515156</v>
      </c>
      <c r="F12" s="34">
        <f t="shared" si="1"/>
        <v>1.9992424242424243</v>
      </c>
      <c r="G12" s="3"/>
    </row>
    <row r="13" spans="1:7" ht="13.5" thickBot="1">
      <c r="A13" s="196">
        <v>37257</v>
      </c>
      <c r="B13" s="60"/>
      <c r="C13" s="33">
        <f t="shared" si="2"/>
        <v>55.151515151515156</v>
      </c>
      <c r="D13" s="197">
        <v>0</v>
      </c>
      <c r="E13" s="33">
        <f t="shared" si="0"/>
        <v>55.151515151515156</v>
      </c>
      <c r="F13" s="35">
        <f t="shared" si="1"/>
        <v>1.9992424242424243</v>
      </c>
      <c r="G13" s="15">
        <f>SUM(F10:F13)</f>
        <v>7.996969696969697</v>
      </c>
    </row>
    <row r="14" spans="1:7" ht="13.5" thickBot="1">
      <c r="A14" s="198" t="s">
        <v>247</v>
      </c>
      <c r="B14" s="199"/>
      <c r="C14" s="200">
        <f>+C10</f>
        <v>55.151515151515156</v>
      </c>
      <c r="D14" s="201">
        <f>SUM(D10:D13)</f>
        <v>0</v>
      </c>
      <c r="E14" s="201">
        <f>+E13</f>
        <v>55.151515151515156</v>
      </c>
      <c r="F14" s="202">
        <f>SUM(F10:F13)</f>
        <v>7.996969696969697</v>
      </c>
      <c r="G14" s="15"/>
    </row>
    <row r="15" spans="1:7" ht="12.75">
      <c r="A15" s="191">
        <v>37260</v>
      </c>
      <c r="B15" s="60"/>
      <c r="C15" s="37">
        <f>E13</f>
        <v>55.151515151515156</v>
      </c>
      <c r="D15" s="192">
        <f>+$C$10/noi</f>
        <v>2.757575757575758</v>
      </c>
      <c r="E15" s="37">
        <f t="shared" si="0"/>
        <v>52.3939393939394</v>
      </c>
      <c r="F15" s="38">
        <f t="shared" si="1"/>
        <v>1.8992803030303032</v>
      </c>
      <c r="G15" s="3"/>
    </row>
    <row r="16" spans="1:7" ht="12.75">
      <c r="A16" s="190">
        <v>37263</v>
      </c>
      <c r="B16" s="60"/>
      <c r="C16" s="31">
        <f t="shared" si="2"/>
        <v>52.3939393939394</v>
      </c>
      <c r="D16" s="67">
        <f>+$C$10/noi</f>
        <v>2.757575757575758</v>
      </c>
      <c r="E16" s="31">
        <f t="shared" si="0"/>
        <v>49.63636363636364</v>
      </c>
      <c r="F16" s="34">
        <f t="shared" si="1"/>
        <v>1.7993181818181818</v>
      </c>
      <c r="G16" s="3"/>
    </row>
    <row r="17" spans="1:7" ht="12.75">
      <c r="A17" s="190">
        <v>37266</v>
      </c>
      <c r="B17" s="60"/>
      <c r="C17" s="31">
        <f t="shared" si="2"/>
        <v>49.63636363636364</v>
      </c>
      <c r="D17" s="67">
        <f>+$C$10/noi</f>
        <v>2.757575757575758</v>
      </c>
      <c r="E17" s="31">
        <f t="shared" si="0"/>
        <v>46.87878787878788</v>
      </c>
      <c r="F17" s="34">
        <f t="shared" si="1"/>
        <v>1.6993560606060607</v>
      </c>
      <c r="G17" s="3"/>
    </row>
    <row r="18" spans="1:7" ht="13.5" thickBot="1">
      <c r="A18" s="196">
        <v>37622</v>
      </c>
      <c r="B18" s="60"/>
      <c r="C18" s="33">
        <f t="shared" si="2"/>
        <v>46.87878787878788</v>
      </c>
      <c r="D18" s="197">
        <f>+$C$10/noi</f>
        <v>2.757575757575758</v>
      </c>
      <c r="E18" s="33">
        <f t="shared" si="0"/>
        <v>44.121212121212125</v>
      </c>
      <c r="F18" s="35">
        <f t="shared" si="1"/>
        <v>1.5993939393939394</v>
      </c>
      <c r="G18" s="15">
        <f>SUM(F15:F18)</f>
        <v>6.9973484848484855</v>
      </c>
    </row>
    <row r="19" spans="1:7" ht="13.5" thickBot="1">
      <c r="A19" s="198" t="s">
        <v>247</v>
      </c>
      <c r="B19" s="199"/>
      <c r="C19" s="200">
        <f>+C15</f>
        <v>55.151515151515156</v>
      </c>
      <c r="D19" s="201">
        <f>SUM(D15:D18)</f>
        <v>11.030303030303031</v>
      </c>
      <c r="E19" s="201">
        <f>+E18</f>
        <v>44.121212121212125</v>
      </c>
      <c r="F19" s="202">
        <f>SUM(F15:F18)</f>
        <v>6.9973484848484855</v>
      </c>
      <c r="G19" s="15"/>
    </row>
    <row r="20" spans="1:7" ht="12.75">
      <c r="A20" s="191">
        <v>37625</v>
      </c>
      <c r="B20" s="60"/>
      <c r="C20" s="37">
        <f>E18</f>
        <v>44.121212121212125</v>
      </c>
      <c r="D20" s="192">
        <f>+$C$10/noi</f>
        <v>2.757575757575758</v>
      </c>
      <c r="E20" s="37">
        <f t="shared" si="0"/>
        <v>41.36363636363637</v>
      </c>
      <c r="F20" s="38">
        <f t="shared" si="1"/>
        <v>1.4994318181818183</v>
      </c>
      <c r="G20" s="3"/>
    </row>
    <row r="21" spans="1:7" ht="12.75">
      <c r="A21" s="190">
        <v>37628</v>
      </c>
      <c r="B21" s="60"/>
      <c r="C21" s="31">
        <f t="shared" si="2"/>
        <v>41.36363636363637</v>
      </c>
      <c r="D21" s="67">
        <f>+$C$10/noi</f>
        <v>2.757575757575758</v>
      </c>
      <c r="E21" s="31">
        <f t="shared" si="0"/>
        <v>38.60606060606061</v>
      </c>
      <c r="F21" s="34">
        <f t="shared" si="1"/>
        <v>1.399469696969697</v>
      </c>
      <c r="G21" s="3"/>
    </row>
    <row r="22" spans="1:7" ht="12.75">
      <c r="A22" s="190">
        <v>37631</v>
      </c>
      <c r="B22" s="60"/>
      <c r="C22" s="31">
        <f t="shared" si="2"/>
        <v>38.60606060606061</v>
      </c>
      <c r="D22" s="67">
        <f>+$C$10/noi</f>
        <v>2.757575757575758</v>
      </c>
      <c r="E22" s="31">
        <f t="shared" si="0"/>
        <v>35.84848484848485</v>
      </c>
      <c r="F22" s="34">
        <f t="shared" si="1"/>
        <v>1.2995075757575758</v>
      </c>
      <c r="G22" s="3"/>
    </row>
    <row r="23" spans="1:7" ht="13.5" thickBot="1">
      <c r="A23" s="196">
        <v>37987</v>
      </c>
      <c r="B23" s="60"/>
      <c r="C23" s="33">
        <f t="shared" si="2"/>
        <v>35.84848484848485</v>
      </c>
      <c r="D23" s="197">
        <f>+$C$10/noi</f>
        <v>2.757575757575758</v>
      </c>
      <c r="E23" s="33">
        <f t="shared" si="0"/>
        <v>33.09090909090909</v>
      </c>
      <c r="F23" s="35">
        <f t="shared" si="1"/>
        <v>1.1995454545454545</v>
      </c>
      <c r="G23" s="15">
        <f>SUM(F20:F23)</f>
        <v>5.397954545454545</v>
      </c>
    </row>
    <row r="24" spans="1:7" ht="13.5" thickBot="1">
      <c r="A24" s="198" t="s">
        <v>247</v>
      </c>
      <c r="B24" s="199"/>
      <c r="C24" s="200">
        <f>+C20</f>
        <v>44.121212121212125</v>
      </c>
      <c r="D24" s="201">
        <f>SUM(D20:D23)</f>
        <v>11.030303030303031</v>
      </c>
      <c r="E24" s="201">
        <f>+E23</f>
        <v>33.09090909090909</v>
      </c>
      <c r="F24" s="202">
        <f>SUM(F20:F23)</f>
        <v>5.397954545454545</v>
      </c>
      <c r="G24" s="15"/>
    </row>
    <row r="25" spans="1:7" ht="12.75">
      <c r="A25" s="191">
        <v>37990</v>
      </c>
      <c r="B25" s="60"/>
      <c r="C25" s="37">
        <f>E23</f>
        <v>33.09090909090909</v>
      </c>
      <c r="D25" s="192">
        <f>+$C$10/noi</f>
        <v>2.757575757575758</v>
      </c>
      <c r="E25" s="37">
        <f t="shared" si="0"/>
        <v>30.333333333333336</v>
      </c>
      <c r="F25" s="38">
        <f t="shared" si="1"/>
        <v>1.0995833333333334</v>
      </c>
      <c r="G25" s="3"/>
    </row>
    <row r="26" spans="1:7" ht="12.75">
      <c r="A26" s="190">
        <v>37993</v>
      </c>
      <c r="B26" s="60"/>
      <c r="C26" s="31">
        <f t="shared" si="2"/>
        <v>30.333333333333336</v>
      </c>
      <c r="D26" s="67">
        <f>+$C$10/noi</f>
        <v>2.757575757575758</v>
      </c>
      <c r="E26" s="31">
        <f t="shared" si="0"/>
        <v>27.575757575757578</v>
      </c>
      <c r="F26" s="34">
        <f t="shared" si="1"/>
        <v>0.9996212121212121</v>
      </c>
      <c r="G26" s="3"/>
    </row>
    <row r="27" spans="1:7" ht="12.75">
      <c r="A27" s="190">
        <v>37996</v>
      </c>
      <c r="B27" s="60"/>
      <c r="C27" s="31">
        <f t="shared" si="2"/>
        <v>27.575757575757578</v>
      </c>
      <c r="D27" s="67">
        <f>+$C$10/noi</f>
        <v>2.757575757575758</v>
      </c>
      <c r="E27" s="31">
        <f t="shared" si="0"/>
        <v>24.81818181818182</v>
      </c>
      <c r="F27" s="34">
        <f t="shared" si="1"/>
        <v>0.8996590909090909</v>
      </c>
      <c r="G27" s="3"/>
    </row>
    <row r="28" spans="1:7" ht="13.5" thickBot="1">
      <c r="A28" s="196">
        <v>38353</v>
      </c>
      <c r="B28" s="60"/>
      <c r="C28" s="33">
        <f t="shared" si="2"/>
        <v>24.81818181818182</v>
      </c>
      <c r="D28" s="197">
        <f>+$C$10/noi</f>
        <v>2.757575757575758</v>
      </c>
      <c r="E28" s="33">
        <f t="shared" si="0"/>
        <v>22.060606060606062</v>
      </c>
      <c r="F28" s="35">
        <f t="shared" si="1"/>
        <v>0.7996969696969697</v>
      </c>
      <c r="G28" s="15">
        <f>SUM(F25:F28)</f>
        <v>3.7985606060606063</v>
      </c>
    </row>
    <row r="29" spans="1:7" ht="13.5" thickBot="1">
      <c r="A29" s="198" t="s">
        <v>247</v>
      </c>
      <c r="B29" s="199"/>
      <c r="C29" s="200">
        <f>+C25</f>
        <v>33.09090909090909</v>
      </c>
      <c r="D29" s="201">
        <f>SUM(D25:D28)</f>
        <v>11.030303030303031</v>
      </c>
      <c r="E29" s="201">
        <f>+E28</f>
        <v>22.060606060606062</v>
      </c>
      <c r="F29" s="202">
        <f>SUM(F25:F28)</f>
        <v>3.7985606060606063</v>
      </c>
      <c r="G29" s="15"/>
    </row>
    <row r="30" spans="1:7" ht="12.75">
      <c r="A30" s="191">
        <v>38356</v>
      </c>
      <c r="B30" s="60"/>
      <c r="C30" s="37">
        <f>E28</f>
        <v>22.060606060606062</v>
      </c>
      <c r="D30" s="192">
        <f>+$C$10/noi</f>
        <v>2.757575757575758</v>
      </c>
      <c r="E30" s="37">
        <f t="shared" si="0"/>
        <v>19.303030303030305</v>
      </c>
      <c r="F30" s="38">
        <f t="shared" si="1"/>
        <v>0.6997348484848485</v>
      </c>
      <c r="G30" s="3"/>
    </row>
    <row r="31" spans="1:7" ht="12.75">
      <c r="A31" s="190">
        <v>38359</v>
      </c>
      <c r="B31" s="60"/>
      <c r="C31" s="31">
        <f t="shared" si="2"/>
        <v>19.303030303030305</v>
      </c>
      <c r="D31" s="67">
        <f>+$C$10/noi</f>
        <v>2.757575757575758</v>
      </c>
      <c r="E31" s="31">
        <f t="shared" si="0"/>
        <v>16.545454545454547</v>
      </c>
      <c r="F31" s="34">
        <f t="shared" si="1"/>
        <v>0.5997727272727272</v>
      </c>
      <c r="G31" s="3"/>
    </row>
    <row r="32" spans="1:7" ht="12.75">
      <c r="A32" s="190">
        <v>38362</v>
      </c>
      <c r="B32" s="60"/>
      <c r="C32" s="31">
        <f t="shared" si="2"/>
        <v>16.545454545454547</v>
      </c>
      <c r="D32" s="67">
        <f>+$C$10/noi</f>
        <v>2.757575757575758</v>
      </c>
      <c r="E32" s="31">
        <f t="shared" si="0"/>
        <v>13.787878787878789</v>
      </c>
      <c r="F32" s="34">
        <f t="shared" si="1"/>
        <v>0.49981060606060607</v>
      </c>
      <c r="G32" s="3"/>
    </row>
    <row r="33" spans="1:7" ht="13.5" thickBot="1">
      <c r="A33" s="196">
        <v>38718</v>
      </c>
      <c r="B33" s="60"/>
      <c r="C33" s="33">
        <f t="shared" si="2"/>
        <v>13.787878787878789</v>
      </c>
      <c r="D33" s="197">
        <f>+$C$10/noi</f>
        <v>2.757575757575758</v>
      </c>
      <c r="E33" s="33">
        <f t="shared" si="0"/>
        <v>11.030303030303031</v>
      </c>
      <c r="F33" s="35">
        <f t="shared" si="1"/>
        <v>0.39984848484848484</v>
      </c>
      <c r="G33" s="15">
        <f>SUM(F30:F33)</f>
        <v>2.1991666666666663</v>
      </c>
    </row>
    <row r="34" spans="1:7" ht="13.5" thickBot="1">
      <c r="A34" s="198" t="s">
        <v>247</v>
      </c>
      <c r="B34" s="199"/>
      <c r="C34" s="200">
        <f>+C30</f>
        <v>22.060606060606062</v>
      </c>
      <c r="D34" s="201">
        <f>SUM(D30:D33)</f>
        <v>11.030303030303031</v>
      </c>
      <c r="E34" s="201">
        <f>+E33</f>
        <v>11.030303030303031</v>
      </c>
      <c r="F34" s="202">
        <f>SUM(F30:F33)</f>
        <v>2.1991666666666663</v>
      </c>
      <c r="G34" s="15"/>
    </row>
    <row r="35" spans="1:7" ht="12.75">
      <c r="A35" s="191">
        <v>38721</v>
      </c>
      <c r="B35" s="60"/>
      <c r="C35" s="37">
        <f>E33</f>
        <v>11.030303030303031</v>
      </c>
      <c r="D35" s="192">
        <f>IF(C35&lt;&gt;0,+$C$10/noi,0)</f>
        <v>2.757575757575758</v>
      </c>
      <c r="E35" s="37">
        <f t="shared" si="0"/>
        <v>8.272727272727273</v>
      </c>
      <c r="F35" s="38">
        <f t="shared" si="1"/>
        <v>0.2998863636363636</v>
      </c>
      <c r="G35" s="3"/>
    </row>
    <row r="36" spans="1:7" ht="12.75">
      <c r="A36" s="190">
        <v>38724</v>
      </c>
      <c r="B36" s="60"/>
      <c r="C36" s="31">
        <f t="shared" si="2"/>
        <v>8.272727272727273</v>
      </c>
      <c r="D36" s="67">
        <f>IF(C36&lt;&gt;0,+$C$10/noi,0)</f>
        <v>2.757575757575758</v>
      </c>
      <c r="E36" s="31">
        <f t="shared" si="0"/>
        <v>5.515151515151516</v>
      </c>
      <c r="F36" s="34">
        <f t="shared" si="1"/>
        <v>0.19992424242424242</v>
      </c>
      <c r="G36" s="3"/>
    </row>
    <row r="37" spans="1:7" ht="12.75">
      <c r="A37" s="190">
        <v>38727</v>
      </c>
      <c r="B37" s="60"/>
      <c r="C37" s="31">
        <f t="shared" si="2"/>
        <v>5.515151515151516</v>
      </c>
      <c r="D37" s="67">
        <f>IF(C37&lt;&gt;0,+$C$10/noi,0)</f>
        <v>2.757575757575758</v>
      </c>
      <c r="E37" s="31">
        <f t="shared" si="0"/>
        <v>2.757575757575758</v>
      </c>
      <c r="F37" s="34">
        <f t="shared" si="1"/>
        <v>0.09996212121212121</v>
      </c>
      <c r="G37" s="3"/>
    </row>
    <row r="38" spans="1:7" ht="13.5" thickBot="1">
      <c r="A38" s="196">
        <v>39083</v>
      </c>
      <c r="B38" s="60"/>
      <c r="C38" s="33">
        <f t="shared" si="2"/>
        <v>2.757575757575758</v>
      </c>
      <c r="D38" s="197">
        <f>IF(C38&lt;&gt;0,+$C$10/noi,0)</f>
        <v>2.757575757575758</v>
      </c>
      <c r="E38" s="33">
        <f t="shared" si="0"/>
        <v>0</v>
      </c>
      <c r="F38" s="35">
        <f t="shared" si="1"/>
        <v>0</v>
      </c>
      <c r="G38" s="15">
        <f>SUM(F35:F38)</f>
        <v>0.5997727272727272</v>
      </c>
    </row>
    <row r="39" spans="1:6" ht="13.5" thickBot="1">
      <c r="A39" s="198" t="s">
        <v>247</v>
      </c>
      <c r="B39" s="199"/>
      <c r="C39" s="200">
        <f>+C35</f>
        <v>11.030303030303031</v>
      </c>
      <c r="D39" s="201">
        <f>SUM(D35:D38)</f>
        <v>11.030303030303031</v>
      </c>
      <c r="E39" s="201">
        <f>+E38</f>
        <v>0</v>
      </c>
      <c r="F39" s="202">
        <f>SUM(F35:F38)</f>
        <v>0.5997727272727272</v>
      </c>
    </row>
    <row r="40" spans="1:6" ht="12.75">
      <c r="A40" s="82"/>
      <c r="B40" s="2"/>
      <c r="C40" s="15"/>
      <c r="D40" s="15"/>
      <c r="E40" s="15"/>
      <c r="F40" s="15"/>
    </row>
    <row r="41" spans="1:6" ht="12.75">
      <c r="A41" s="82"/>
      <c r="B41" s="2"/>
      <c r="C41" s="15"/>
      <c r="D41" s="15"/>
      <c r="E41" s="15"/>
      <c r="F41" s="15"/>
    </row>
    <row r="42" spans="1:6" ht="12.75">
      <c r="A42" s="82"/>
      <c r="B42" s="2"/>
      <c r="C42" s="15"/>
      <c r="D42" s="15"/>
      <c r="E42" s="15"/>
      <c r="F42" s="15"/>
    </row>
    <row r="43" spans="1:6" ht="12.75">
      <c r="A43" s="82"/>
      <c r="B43" s="2"/>
      <c r="C43" s="15"/>
      <c r="D43" s="15"/>
      <c r="E43" s="15"/>
      <c r="F43" s="15"/>
    </row>
    <row r="44" spans="1:6" ht="12.75">
      <c r="A44" s="82"/>
      <c r="B44" s="2"/>
      <c r="C44" s="15"/>
      <c r="D44" s="15"/>
      <c r="E44" s="15"/>
      <c r="F44" s="15"/>
    </row>
    <row r="46" ht="12.75">
      <c r="A46" t="s">
        <v>201</v>
      </c>
    </row>
    <row r="47" spans="1:9" ht="12.75">
      <c r="A47" t="s">
        <v>193</v>
      </c>
      <c r="B47" s="3">
        <f>+C10</f>
        <v>55.151515151515156</v>
      </c>
      <c r="C47" s="3">
        <f>+B49</f>
        <v>55.151515151515156</v>
      </c>
      <c r="D47" s="3">
        <f>+C49</f>
        <v>44.121212121212125</v>
      </c>
      <c r="E47" s="3">
        <f>+D49</f>
        <v>33.09090909090909</v>
      </c>
      <c r="F47" s="3">
        <f>+E49</f>
        <v>22.060606060606062</v>
      </c>
      <c r="G47" s="3">
        <f>+F49</f>
        <v>11.030303030303031</v>
      </c>
      <c r="H47" s="3"/>
      <c r="I47" s="3"/>
    </row>
    <row r="48" spans="1:9" ht="12.75">
      <c r="A48" t="s">
        <v>194</v>
      </c>
      <c r="B48" s="3">
        <f>+D14</f>
        <v>0</v>
      </c>
      <c r="C48" s="3">
        <f>+D19</f>
        <v>11.030303030303031</v>
      </c>
      <c r="D48" s="3">
        <f>+D24</f>
        <v>11.030303030303031</v>
      </c>
      <c r="E48" s="3">
        <f>+D29</f>
        <v>11.030303030303031</v>
      </c>
      <c r="F48" s="3">
        <f>+D34</f>
        <v>11.030303030303031</v>
      </c>
      <c r="G48" s="3">
        <v>11.03</v>
      </c>
      <c r="H48" s="3"/>
      <c r="I48" s="3"/>
    </row>
    <row r="49" spans="1:9" ht="12.75">
      <c r="A49" t="s">
        <v>202</v>
      </c>
      <c r="B49" s="3">
        <f aca="true" t="shared" si="3" ref="B49:G49">+B47-B48</f>
        <v>55.151515151515156</v>
      </c>
      <c r="C49" s="3">
        <f t="shared" si="3"/>
        <v>44.121212121212125</v>
      </c>
      <c r="D49" s="3">
        <f t="shared" si="3"/>
        <v>33.09090909090909</v>
      </c>
      <c r="E49" s="3">
        <f t="shared" si="3"/>
        <v>22.060606060606062</v>
      </c>
      <c r="F49" s="3">
        <f t="shared" si="3"/>
        <v>11.030303030303031</v>
      </c>
      <c r="G49" s="3">
        <f t="shared" si="3"/>
        <v>0.0003030303030318038</v>
      </c>
      <c r="H49" s="3"/>
      <c r="I49" s="3"/>
    </row>
    <row r="51" spans="1:8" ht="12.75">
      <c r="A51" t="s">
        <v>111</v>
      </c>
      <c r="B51" s="3">
        <f>F14</f>
        <v>7.996969696969697</v>
      </c>
      <c r="C51" s="3">
        <f>+F19</f>
        <v>6.9973484848484855</v>
      </c>
      <c r="D51" s="3">
        <f>+F24</f>
        <v>5.397954545454545</v>
      </c>
      <c r="E51" s="3">
        <f>+F29</f>
        <v>3.7985606060606063</v>
      </c>
      <c r="F51" s="3">
        <f>+F34</f>
        <v>2.1991666666666663</v>
      </c>
      <c r="G51" s="3">
        <f>+F39</f>
        <v>0.5997727272727272</v>
      </c>
      <c r="H51" s="3"/>
    </row>
    <row r="53" spans="1:5" ht="12.75">
      <c r="A53" s="2" t="s">
        <v>126</v>
      </c>
      <c r="B53" s="2"/>
      <c r="C53" s="2"/>
      <c r="D53" s="2"/>
      <c r="E53" s="2"/>
    </row>
    <row r="54" spans="1:2" ht="12.75">
      <c r="A54" t="s">
        <v>127</v>
      </c>
      <c r="B54" s="4">
        <v>0.1</v>
      </c>
    </row>
    <row r="55" spans="1:6" ht="12.75">
      <c r="A55" t="s">
        <v>128</v>
      </c>
      <c r="B55">
        <v>37.5</v>
      </c>
      <c r="C55">
        <f>B57</f>
        <v>33.75</v>
      </c>
      <c r="D55">
        <f>C57</f>
        <v>30.375</v>
      </c>
      <c r="E55">
        <f>D57</f>
        <v>27.3375</v>
      </c>
      <c r="F55">
        <f>E57</f>
        <v>24.603749999999998</v>
      </c>
    </row>
    <row r="56" spans="1:6" ht="12.75">
      <c r="A56" t="s">
        <v>129</v>
      </c>
      <c r="B56">
        <f>B55*10%</f>
        <v>3.75</v>
      </c>
      <c r="C56">
        <f>C55*10%</f>
        <v>3.375</v>
      </c>
      <c r="D56">
        <f>D55*10%</f>
        <v>3.0375</v>
      </c>
      <c r="E56">
        <f>E55*10%</f>
        <v>2.73375</v>
      </c>
      <c r="F56">
        <f>F55*10%</f>
        <v>2.460375</v>
      </c>
    </row>
    <row r="57" spans="1:6" ht="12.75">
      <c r="A57" t="s">
        <v>130</v>
      </c>
      <c r="B57">
        <f>B55-B56</f>
        <v>33.75</v>
      </c>
      <c r="C57">
        <f>C55-C56</f>
        <v>30.375</v>
      </c>
      <c r="D57">
        <f>D55-D56</f>
        <v>27.3375</v>
      </c>
      <c r="E57">
        <f>E55-E56</f>
        <v>24.603749999999998</v>
      </c>
      <c r="F57">
        <f>F55-F56</f>
        <v>22.143375</v>
      </c>
    </row>
  </sheetData>
  <mergeCells count="1">
    <mergeCell ref="A7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31.8515625" style="0" bestFit="1" customWidth="1"/>
  </cols>
  <sheetData>
    <row r="1" spans="2:8" ht="12.75">
      <c r="B1" s="2"/>
      <c r="C1" s="2" t="s">
        <v>117</v>
      </c>
      <c r="D1" s="2"/>
      <c r="E1" s="2"/>
      <c r="F1" s="2"/>
      <c r="G1" s="2"/>
      <c r="H1" s="2"/>
    </row>
    <row r="2" spans="4:8" ht="12.75">
      <c r="D2" t="s">
        <v>0</v>
      </c>
      <c r="E2" t="s">
        <v>1</v>
      </c>
      <c r="F2" t="s">
        <v>92</v>
      </c>
      <c r="G2" t="s">
        <v>93</v>
      </c>
      <c r="H2" t="s">
        <v>94</v>
      </c>
    </row>
    <row r="4" spans="1:8" ht="12.75">
      <c r="A4" t="s">
        <v>95</v>
      </c>
      <c r="D4">
        <f>'income cal'!G15</f>
        <v>48</v>
      </c>
      <c r="E4">
        <f>'income cal'!H15</f>
        <v>75.60000000000001</v>
      </c>
      <c r="F4">
        <f>'income cal'!I15</f>
        <v>119.07000000000001</v>
      </c>
      <c r="G4">
        <f>'income cal'!J15</f>
        <v>138.91500000000002</v>
      </c>
      <c r="H4">
        <f>'income cal'!K15</f>
        <v>175.03290000000004</v>
      </c>
    </row>
    <row r="6" spans="1:9" ht="12.75">
      <c r="A6" s="2" t="s">
        <v>105</v>
      </c>
      <c r="B6" s="2"/>
      <c r="D6" s="2">
        <f>D4</f>
        <v>48</v>
      </c>
      <c r="E6" s="2">
        <f>E4</f>
        <v>75.60000000000001</v>
      </c>
      <c r="F6" s="2">
        <f>F4</f>
        <v>119.07000000000001</v>
      </c>
      <c r="G6" s="2">
        <f>G4</f>
        <v>138.91500000000002</v>
      </c>
      <c r="H6" s="2">
        <f>H4</f>
        <v>175.03290000000004</v>
      </c>
      <c r="I6" s="2"/>
    </row>
    <row r="8" ht="12.75">
      <c r="A8" t="s">
        <v>96</v>
      </c>
    </row>
    <row r="9" spans="1:8" ht="12.75">
      <c r="A9" t="s">
        <v>97</v>
      </c>
      <c r="D9" s="3">
        <f>'p&amp;l'!C8</f>
        <v>12.2</v>
      </c>
      <c r="E9" s="3">
        <f>D9</f>
        <v>12.2</v>
      </c>
      <c r="F9" s="3">
        <f>E9</f>
        <v>12.2</v>
      </c>
      <c r="G9" s="3">
        <f>F9</f>
        <v>12.2</v>
      </c>
      <c r="H9" s="3">
        <f>G9</f>
        <v>12.2</v>
      </c>
    </row>
    <row r="10" ht="12.75">
      <c r="A10" t="s">
        <v>98</v>
      </c>
    </row>
    <row r="11" ht="12.75">
      <c r="A11" t="s">
        <v>124</v>
      </c>
    </row>
    <row r="13" spans="1:8" ht="12.75">
      <c r="A13" t="s">
        <v>97</v>
      </c>
      <c r="E13" s="3">
        <f>'p&amp;l'!D10</f>
        <v>6.875</v>
      </c>
      <c r="F13" s="3">
        <f>E13</f>
        <v>6.875</v>
      </c>
      <c r="G13" s="3">
        <f>F13</f>
        <v>6.875</v>
      </c>
      <c r="H13" s="3">
        <f>G13</f>
        <v>6.875</v>
      </c>
    </row>
    <row r="14" ht="12.75">
      <c r="A14" t="s">
        <v>99</v>
      </c>
    </row>
    <row r="15" ht="12.75">
      <c r="A15" t="s">
        <v>132</v>
      </c>
    </row>
    <row r="17" spans="1:8" ht="12.75">
      <c r="A17" t="s">
        <v>135</v>
      </c>
      <c r="D17">
        <f>'p&amp;l'!C12</f>
        <v>15.3</v>
      </c>
      <c r="E17">
        <f>D17+D17*10%</f>
        <v>16.830000000000002</v>
      </c>
      <c r="F17" s="3">
        <f aca="true" t="shared" si="0" ref="F17:H18">E17+E17*10%</f>
        <v>18.513</v>
      </c>
      <c r="G17" s="3">
        <f t="shared" si="0"/>
        <v>20.3643</v>
      </c>
      <c r="H17" s="3">
        <f t="shared" si="0"/>
        <v>22.40073</v>
      </c>
    </row>
    <row r="18" spans="1:8" ht="12.75">
      <c r="A18" t="s">
        <v>136</v>
      </c>
      <c r="D18">
        <v>5.5</v>
      </c>
      <c r="E18">
        <f>D18+D18*10%</f>
        <v>6.05</v>
      </c>
      <c r="F18" s="3">
        <f t="shared" si="0"/>
        <v>6.654999999999999</v>
      </c>
      <c r="G18" s="3">
        <f t="shared" si="0"/>
        <v>7.320499999999999</v>
      </c>
      <c r="H18" s="3">
        <f t="shared" si="0"/>
        <v>8.052549999999998</v>
      </c>
    </row>
    <row r="19" ht="12.75">
      <c r="A19" t="s">
        <v>137</v>
      </c>
    </row>
    <row r="20" spans="1:5" ht="12.75">
      <c r="A20" t="s">
        <v>101</v>
      </c>
      <c r="E20">
        <v>0.75</v>
      </c>
    </row>
    <row r="21" spans="1:5" ht="12.75">
      <c r="A21" t="s">
        <v>102</v>
      </c>
      <c r="E21">
        <v>0.5</v>
      </c>
    </row>
    <row r="22" spans="1:8" ht="12.75">
      <c r="A22" t="s">
        <v>103</v>
      </c>
      <c r="E22">
        <v>1</v>
      </c>
      <c r="F22">
        <v>1</v>
      </c>
      <c r="G22">
        <v>1</v>
      </c>
      <c r="H22">
        <v>1</v>
      </c>
    </row>
    <row r="23" spans="1:8" ht="12.75">
      <c r="A23" t="s">
        <v>104</v>
      </c>
      <c r="E23">
        <v>0.25</v>
      </c>
      <c r="F23">
        <v>0.25</v>
      </c>
      <c r="G23">
        <v>0.25</v>
      </c>
      <c r="H23">
        <v>0.25</v>
      </c>
    </row>
    <row r="26" spans="1:8" s="2" customFormat="1" ht="12.75">
      <c r="A26" s="2" t="s">
        <v>106</v>
      </c>
      <c r="D26" s="2">
        <f>SUM(D8:D25)</f>
        <v>33</v>
      </c>
      <c r="E26" s="2">
        <f>SUM(E8:E25)</f>
        <v>44.455</v>
      </c>
      <c r="F26" s="2">
        <f>SUM(F8:F25)</f>
        <v>45.493</v>
      </c>
      <c r="G26" s="2">
        <f>SUM(G8:G25)</f>
        <v>48.0098</v>
      </c>
      <c r="H26" s="2">
        <f>SUM(H8:H25)</f>
        <v>50.778279999999995</v>
      </c>
    </row>
    <row r="28" spans="1:8" ht="12.75">
      <c r="A28" s="2" t="s">
        <v>108</v>
      </c>
      <c r="B28" s="2"/>
      <c r="C28" s="2"/>
      <c r="D28" s="2">
        <f>D6-D26</f>
        <v>15</v>
      </c>
      <c r="E28" s="2">
        <f>E6-E26</f>
        <v>31.14500000000001</v>
      </c>
      <c r="F28" s="2">
        <f>F6-F26</f>
        <v>73.577</v>
      </c>
      <c r="G28" s="2">
        <f>G6-G26</f>
        <v>90.90520000000002</v>
      </c>
      <c r="H28" s="2">
        <f>H6-H26</f>
        <v>124.25462000000005</v>
      </c>
    </row>
    <row r="29" spans="1:8" s="2" customFormat="1" ht="12.75">
      <c r="A29" s="2" t="s">
        <v>109</v>
      </c>
      <c r="D29" s="9">
        <f>D28/D6</f>
        <v>0.3125</v>
      </c>
      <c r="E29" s="9">
        <f>E28/E6</f>
        <v>0.41197089947089954</v>
      </c>
      <c r="F29" s="9">
        <f>F28/F6</f>
        <v>0.6179306290417401</v>
      </c>
      <c r="G29" s="9">
        <f>G28/G6</f>
        <v>0.6543944138501963</v>
      </c>
      <c r="H29" s="9">
        <f>H28/H6</f>
        <v>0.7098929401272561</v>
      </c>
    </row>
    <row r="30" spans="1:7" ht="12.75">
      <c r="A30" t="s">
        <v>100</v>
      </c>
      <c r="D30">
        <f>7.5*25/100</f>
        <v>1.875</v>
      </c>
      <c r="E30">
        <f>7.5*25/100</f>
        <v>1.875</v>
      </c>
      <c r="F30">
        <f>E30</f>
        <v>1.875</v>
      </c>
      <c r="G30">
        <f>F30</f>
        <v>1.875</v>
      </c>
    </row>
    <row r="31" spans="1:8" ht="12.75">
      <c r="A31" t="s">
        <v>131</v>
      </c>
      <c r="D31">
        <f>'p&amp;l'!C24</f>
        <v>3.75</v>
      </c>
      <c r="E31">
        <f>'p&amp;l'!D24</f>
        <v>3.375</v>
      </c>
      <c r="F31">
        <f>'p&amp;l'!E24</f>
        <v>3.0375</v>
      </c>
      <c r="G31">
        <f>'p&amp;l'!F24</f>
        <v>2.73375</v>
      </c>
      <c r="H31">
        <f>'p&amp;l'!G24</f>
        <v>2.460375</v>
      </c>
    </row>
    <row r="32" spans="1:8" s="2" customFormat="1" ht="12.75">
      <c r="A32" s="2" t="s">
        <v>110</v>
      </c>
      <c r="D32" s="2">
        <f>D28-(D30+D31)</f>
        <v>9.375</v>
      </c>
      <c r="E32" s="2">
        <f>E28-(E30+E31)</f>
        <v>25.89500000000001</v>
      </c>
      <c r="F32" s="2">
        <f>F28-(F30+F31)</f>
        <v>68.6645</v>
      </c>
      <c r="G32" s="2">
        <f>G28-(G30+G31)</f>
        <v>86.29645000000002</v>
      </c>
      <c r="H32" s="2">
        <f>H28-(H30+H31)</f>
        <v>121.79424500000005</v>
      </c>
    </row>
    <row r="33" spans="1:8" ht="12.75">
      <c r="A33" t="s">
        <v>111</v>
      </c>
      <c r="D33" s="3">
        <f>+interest!$G$13</f>
        <v>7.996969696969697</v>
      </c>
      <c r="E33" s="3">
        <f>+interest!$G$18</f>
        <v>6.9973484848484855</v>
      </c>
      <c r="F33" s="3">
        <f>+interest!$G$23</f>
        <v>5.397954545454545</v>
      </c>
      <c r="G33" s="3">
        <f>+interest!$G$28</f>
        <v>3.7985606060606063</v>
      </c>
      <c r="H33" s="3">
        <f>+interest!$G$33</f>
        <v>2.1991666666666663</v>
      </c>
    </row>
    <row r="34" spans="1:8" s="2" customFormat="1" ht="12.75">
      <c r="A34" s="2" t="s">
        <v>112</v>
      </c>
      <c r="D34" s="2">
        <f>D32-D33</f>
        <v>1.378030303030303</v>
      </c>
      <c r="E34" s="2">
        <f>E32-E33</f>
        <v>18.897651515151523</v>
      </c>
      <c r="F34" s="2">
        <f>F32-F33</f>
        <v>63.26654545454546</v>
      </c>
      <c r="G34" s="2">
        <f>G32-G33</f>
        <v>82.49788939393942</v>
      </c>
      <c r="H34" s="2">
        <f>H32-H33</f>
        <v>119.59507833333338</v>
      </c>
    </row>
    <row r="35" spans="1:8" s="2" customFormat="1" ht="12.75">
      <c r="A35" s="2" t="s">
        <v>113</v>
      </c>
      <c r="D35" s="9">
        <f>D34/D6</f>
        <v>0.028708964646464646</v>
      </c>
      <c r="E35" s="9">
        <f>E34/E6</f>
        <v>0.24996893538560214</v>
      </c>
      <c r="F35" s="9">
        <f>F34/F6</f>
        <v>0.5313390900692488</v>
      </c>
      <c r="G35" s="9">
        <f>G34/G6</f>
        <v>0.5938731554831329</v>
      </c>
      <c r="H35" s="9">
        <f>H34/H6</f>
        <v>0.6832719924844606</v>
      </c>
    </row>
    <row r="36" spans="1:8" ht="12.75">
      <c r="A36" t="s">
        <v>114</v>
      </c>
      <c r="E36">
        <f>E34*47.5%</f>
        <v>8.976384469696972</v>
      </c>
      <c r="F36">
        <f>F34*47.5%</f>
        <v>30.051609090909093</v>
      </c>
      <c r="G36">
        <f>G34*47.5%</f>
        <v>39.186497462121224</v>
      </c>
      <c r="H36">
        <f>H34*47.5%</f>
        <v>56.80766220833335</v>
      </c>
    </row>
    <row r="37" spans="1:8" s="2" customFormat="1" ht="12.75">
      <c r="A37" s="2" t="s">
        <v>115</v>
      </c>
      <c r="D37" s="2">
        <f>D34-D36</f>
        <v>1.378030303030303</v>
      </c>
      <c r="E37" s="2">
        <f>E34-E36</f>
        <v>9.92126704545455</v>
      </c>
      <c r="F37" s="2">
        <f>F34-F36</f>
        <v>33.21493636363637</v>
      </c>
      <c r="G37" s="2">
        <f>G34-G36</f>
        <v>43.31139193181819</v>
      </c>
      <c r="H37" s="2">
        <f>H34-H36</f>
        <v>62.78741612500003</v>
      </c>
    </row>
    <row r="38" spans="1:8" s="2" customFormat="1" ht="12.75">
      <c r="A38" s="2" t="s">
        <v>116</v>
      </c>
      <c r="D38" s="9">
        <f>D37/D6</f>
        <v>0.028708964646464646</v>
      </c>
      <c r="E38" s="9">
        <f>E37/E6</f>
        <v>0.13123369107744112</v>
      </c>
      <c r="F38" s="9">
        <f>F37/F6</f>
        <v>0.27895302228635566</v>
      </c>
      <c r="G38" s="9">
        <f>G37/G6</f>
        <v>0.31178340662864473</v>
      </c>
      <c r="H38" s="9">
        <f>H37/H6</f>
        <v>0.35871779605434184</v>
      </c>
    </row>
    <row r="41" spans="1:3" ht="12.75">
      <c r="A41" t="s">
        <v>123</v>
      </c>
      <c r="C41" s="10">
        <f>IRR(C42:H42)</f>
        <v>0.40367363962472563</v>
      </c>
    </row>
    <row r="42" spans="1:8" ht="12.75">
      <c r="A42" t="s">
        <v>119</v>
      </c>
      <c r="C42">
        <v>-135</v>
      </c>
      <c r="D42">
        <f>D6-(D33+D36)</f>
        <v>40.0030303030303</v>
      </c>
      <c r="E42">
        <f>E6-(E33+E36)</f>
        <v>59.626267045454554</v>
      </c>
      <c r="F42">
        <f>F6-(F33+F36)</f>
        <v>83.62043636363637</v>
      </c>
      <c r="G42">
        <f>G6-(G33+G36)</f>
        <v>95.92994193181819</v>
      </c>
      <c r="H42">
        <f>H6-(H33+H36)</f>
        <v>116.02607112500003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2" sqref="A2"/>
    </sheetView>
  </sheetViews>
  <sheetFormatPr defaultColWidth="9.140625" defaultRowHeight="12.75"/>
  <sheetData>
    <row r="1" ht="12.75">
      <c r="A1" t="s">
        <v>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6.421875" style="0" customWidth="1"/>
    <col min="3" max="3" width="16.421875" style="0" customWidth="1"/>
    <col min="4" max="4" width="9.00390625" style="0" customWidth="1"/>
  </cols>
  <sheetData>
    <row r="1" ht="13.5" thickBot="1"/>
    <row r="2" spans="1:4" ht="13.5" thickBot="1">
      <c r="A2" s="232" t="s">
        <v>157</v>
      </c>
      <c r="B2" s="233"/>
      <c r="C2" s="232" t="s">
        <v>158</v>
      </c>
      <c r="D2" s="234"/>
    </row>
    <row r="3" spans="1:4" s="11" customFormat="1" ht="13.5" thickBot="1">
      <c r="A3" s="23" t="s">
        <v>159</v>
      </c>
      <c r="B3" s="24" t="s">
        <v>160</v>
      </c>
      <c r="C3" s="23" t="s">
        <v>159</v>
      </c>
      <c r="D3" s="24" t="s">
        <v>160</v>
      </c>
    </row>
    <row r="4" spans="1:4" ht="12.75">
      <c r="A4" s="16" t="s">
        <v>161</v>
      </c>
      <c r="B4" s="17"/>
      <c r="C4" s="16"/>
      <c r="D4" s="17"/>
    </row>
    <row r="5" spans="1:6" ht="12.75">
      <c r="A5" s="18" t="s">
        <v>138</v>
      </c>
      <c r="B5" s="34">
        <v>20</v>
      </c>
      <c r="C5" s="18" t="s">
        <v>168</v>
      </c>
      <c r="D5" s="34">
        <v>30</v>
      </c>
      <c r="F5" s="25">
        <v>0.1</v>
      </c>
    </row>
    <row r="6" spans="1:6" ht="12.75">
      <c r="A6" s="18" t="s">
        <v>165</v>
      </c>
      <c r="B6" s="34">
        <v>10</v>
      </c>
      <c r="C6" s="21"/>
      <c r="D6" s="212"/>
      <c r="E6" s="14"/>
      <c r="F6" s="26"/>
    </row>
    <row r="7" spans="1:6" ht="12.75">
      <c r="A7" s="18" t="s">
        <v>164</v>
      </c>
      <c r="B7" s="34">
        <v>5</v>
      </c>
      <c r="C7" s="21" t="s">
        <v>169</v>
      </c>
      <c r="D7" s="34">
        <f>+B12-D8-D5</f>
        <v>54.848484848484844</v>
      </c>
      <c r="F7" s="27">
        <v>0.6</v>
      </c>
    </row>
    <row r="8" spans="1:4" ht="12.75">
      <c r="A8" s="18" t="s">
        <v>166</v>
      </c>
      <c r="B8" s="34">
        <v>2.5</v>
      </c>
      <c r="C8" s="18" t="s">
        <v>118</v>
      </c>
      <c r="D8" s="34">
        <f>+B12*(B15/(B15+1))</f>
        <v>55.151515151515156</v>
      </c>
    </row>
    <row r="9" spans="1:4" ht="12.75">
      <c r="A9" s="18" t="s">
        <v>162</v>
      </c>
      <c r="B9" s="34">
        <v>2.5</v>
      </c>
      <c r="C9" s="21"/>
      <c r="D9" s="212"/>
    </row>
    <row r="10" spans="1:4" ht="12.75">
      <c r="A10" s="18" t="s">
        <v>163</v>
      </c>
      <c r="B10" s="34">
        <v>100</v>
      </c>
      <c r="C10" s="22"/>
      <c r="D10" s="213"/>
    </row>
    <row r="11" spans="1:4" ht="12.75">
      <c r="A11" s="21"/>
      <c r="B11" s="20"/>
      <c r="C11" s="21"/>
      <c r="D11" s="212"/>
    </row>
    <row r="12" spans="1:4" ht="13.5" thickBot="1">
      <c r="A12" s="28" t="s">
        <v>167</v>
      </c>
      <c r="B12" s="121">
        <f>SUM(B5:B10)</f>
        <v>140</v>
      </c>
      <c r="C12" s="28" t="s">
        <v>167</v>
      </c>
      <c r="D12" s="121">
        <f>SUM(D5:D11)</f>
        <v>140</v>
      </c>
    </row>
    <row r="14" ht="12.75">
      <c r="C14" s="1">
        <f>+B12-D12</f>
        <v>0</v>
      </c>
    </row>
    <row r="15" spans="1:2" ht="12.75">
      <c r="A15" t="s">
        <v>203</v>
      </c>
      <c r="B15" s="14">
        <v>0.65</v>
      </c>
    </row>
    <row r="17" ht="12.75">
      <c r="G17" s="29"/>
    </row>
    <row r="19" ht="12.75">
      <c r="A19" t="s">
        <v>170</v>
      </c>
    </row>
    <row r="20" spans="1:2" ht="12.75">
      <c r="A20" t="s">
        <v>171</v>
      </c>
      <c r="B20" s="14">
        <f>+D8/(D7+D5)</f>
        <v>0.6500000000000001</v>
      </c>
    </row>
    <row r="21" spans="1:2" ht="12.75">
      <c r="A21" t="s">
        <v>172</v>
      </c>
      <c r="B21" s="14">
        <f>+D8/D7</f>
        <v>1.0055248618784531</v>
      </c>
    </row>
  </sheetData>
  <mergeCells count="2">
    <mergeCell ref="A2:B2"/>
    <mergeCell ref="C2:D2"/>
  </mergeCells>
  <printOptions horizontalCentered="1"/>
  <pageMargins left="0.75" right="0.75" top="1" bottom="1" header="0.5" footer="0.5"/>
  <pageSetup horizontalDpi="300" verticalDpi="300" orientation="landscape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0.28125" style="0" customWidth="1"/>
  </cols>
  <sheetData>
    <row r="1" spans="1:6" ht="13.5" thickBot="1">
      <c r="A1" s="235" t="s">
        <v>232</v>
      </c>
      <c r="B1" s="236"/>
      <c r="C1" s="236"/>
      <c r="D1" s="236"/>
      <c r="E1" s="236"/>
      <c r="F1" s="237"/>
    </row>
    <row r="2" spans="1:6" ht="13.5" thickBot="1">
      <c r="A2" s="21"/>
      <c r="B2" s="60"/>
      <c r="C2" s="60"/>
      <c r="D2" s="60"/>
      <c r="E2" s="60"/>
      <c r="F2" s="20"/>
    </row>
    <row r="3" spans="1:6" ht="12.75" customHeight="1" thickBot="1">
      <c r="A3" s="241" t="s">
        <v>235</v>
      </c>
      <c r="B3" s="242"/>
      <c r="C3" s="238" t="s">
        <v>233</v>
      </c>
      <c r="D3" s="239"/>
      <c r="E3" s="239"/>
      <c r="F3" s="240"/>
    </row>
    <row r="4" spans="1:6" ht="13.5" thickBot="1">
      <c r="A4" s="243"/>
      <c r="B4" s="244"/>
      <c r="C4" s="179">
        <v>0.5</v>
      </c>
      <c r="D4" s="179">
        <v>0.65</v>
      </c>
      <c r="E4" s="179">
        <v>0.75</v>
      </c>
      <c r="F4" s="179">
        <v>0.8</v>
      </c>
    </row>
    <row r="5" spans="1:6" ht="12.75" customHeight="1" thickBot="1">
      <c r="A5" s="245" t="s">
        <v>234</v>
      </c>
      <c r="B5" s="187" t="s">
        <v>238</v>
      </c>
      <c r="C5" s="181">
        <v>169.74</v>
      </c>
      <c r="D5" s="180">
        <v>163.7</v>
      </c>
      <c r="E5" s="180">
        <v>160.25</v>
      </c>
      <c r="F5" s="182">
        <v>158.66</v>
      </c>
    </row>
    <row r="6" spans="1:6" ht="13.5" thickBot="1">
      <c r="A6" s="246"/>
      <c r="B6" s="187" t="s">
        <v>239</v>
      </c>
      <c r="C6" s="67">
        <v>223.42</v>
      </c>
      <c r="D6" s="31">
        <v>217.38</v>
      </c>
      <c r="E6" s="31">
        <v>213.92</v>
      </c>
      <c r="F6" s="34">
        <v>212.34</v>
      </c>
    </row>
    <row r="7" spans="1:6" ht="13.5" thickBot="1">
      <c r="A7" s="246"/>
      <c r="B7" s="186">
        <v>0</v>
      </c>
      <c r="C7" s="67">
        <v>277.09</v>
      </c>
      <c r="D7" s="31">
        <v>271.05</v>
      </c>
      <c r="E7" s="31">
        <v>267.6</v>
      </c>
      <c r="F7" s="34">
        <v>266.02</v>
      </c>
    </row>
    <row r="8" spans="1:6" ht="13.5" thickBot="1">
      <c r="A8" s="246"/>
      <c r="B8" s="187" t="s">
        <v>236</v>
      </c>
      <c r="C8" s="67">
        <v>330.77</v>
      </c>
      <c r="D8" s="31">
        <v>324.73</v>
      </c>
      <c r="E8" s="31">
        <v>321.28</v>
      </c>
      <c r="F8" s="34">
        <v>319.69</v>
      </c>
    </row>
    <row r="9" spans="1:6" ht="13.5" thickBot="1">
      <c r="A9" s="247"/>
      <c r="B9" s="187" t="s">
        <v>237</v>
      </c>
      <c r="C9" s="183">
        <v>384.45</v>
      </c>
      <c r="D9" s="184">
        <v>378.41</v>
      </c>
      <c r="E9" s="184">
        <v>374.95</v>
      </c>
      <c r="F9" s="185">
        <v>373.73</v>
      </c>
    </row>
    <row r="10" ht="12.75">
      <c r="A10" s="178"/>
    </row>
    <row r="11" ht="12.75">
      <c r="A11" s="177"/>
    </row>
  </sheetData>
  <mergeCells count="4">
    <mergeCell ref="A1:F1"/>
    <mergeCell ref="C3:F3"/>
    <mergeCell ref="A3:B4"/>
    <mergeCell ref="A5:A9"/>
  </mergeCells>
  <printOptions horizontalCentered="1"/>
  <pageMargins left="0.75" right="0.75" top="1" bottom="1" header="0.5" footer="0.5"/>
  <pageSetup horizontalDpi="300" verticalDpi="300" orientation="landscape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60" workbookViewId="0" topLeftCell="A1">
      <selection activeCell="A12" sqref="A12"/>
    </sheetView>
  </sheetViews>
  <sheetFormatPr defaultColWidth="9.140625" defaultRowHeight="12.75"/>
  <cols>
    <col min="1" max="1" width="25.7109375" style="0" bestFit="1" customWidth="1"/>
    <col min="2" max="2" width="9.8515625" style="0" bestFit="1" customWidth="1"/>
    <col min="3" max="4" width="9.421875" style="0" bestFit="1" customWidth="1"/>
    <col min="5" max="9" width="10.8515625" style="0" bestFit="1" customWidth="1"/>
  </cols>
  <sheetData>
    <row r="1" spans="1:9" ht="15.75" thickBot="1">
      <c r="A1" s="248" t="s">
        <v>204</v>
      </c>
      <c r="B1" s="249"/>
      <c r="C1" s="249"/>
      <c r="D1" s="249"/>
      <c r="E1" s="249"/>
      <c r="F1" s="249"/>
      <c r="G1" s="249"/>
      <c r="H1" s="249"/>
      <c r="I1" s="250"/>
    </row>
    <row r="2" spans="1:9" ht="13.5" thickBot="1">
      <c r="A2" s="172" t="s">
        <v>159</v>
      </c>
      <c r="B2" s="173" t="s">
        <v>0</v>
      </c>
      <c r="C2" s="173" t="s">
        <v>1</v>
      </c>
      <c r="D2" s="173" t="s">
        <v>92</v>
      </c>
      <c r="E2" s="173" t="s">
        <v>93</v>
      </c>
      <c r="F2" s="173" t="s">
        <v>145</v>
      </c>
      <c r="G2" s="173" t="s">
        <v>185</v>
      </c>
      <c r="H2" s="173" t="s">
        <v>186</v>
      </c>
      <c r="I2" s="174" t="s">
        <v>187</v>
      </c>
    </row>
    <row r="3" spans="1:9" ht="13.5" thickBot="1">
      <c r="A3" s="175" t="s">
        <v>229</v>
      </c>
      <c r="B3" s="60"/>
      <c r="C3" s="60"/>
      <c r="D3" s="60"/>
      <c r="E3" s="60"/>
      <c r="F3" s="60"/>
      <c r="G3" s="60"/>
      <c r="H3" s="60"/>
      <c r="I3" s="20"/>
    </row>
    <row r="4" spans="1:9" ht="12.75">
      <c r="A4" s="124" t="s">
        <v>110</v>
      </c>
      <c r="B4" s="125">
        <f>+'Profit&amp;Loss'!B21</f>
        <v>0.8250000000000028</v>
      </c>
      <c r="C4" s="125">
        <f>+'Profit&amp;Loss'!C21</f>
        <v>17.77625000000001</v>
      </c>
      <c r="D4" s="125">
        <f>+'Profit&amp;Loss'!D21</f>
        <v>61.202937500000004</v>
      </c>
      <c r="E4" s="125">
        <f>+'Profit&amp;Loss'!E21</f>
        <v>79.12077812500003</v>
      </c>
      <c r="F4" s="125">
        <f>+'Profit&amp;Loss'!F21</f>
        <v>112.87249109375004</v>
      </c>
      <c r="G4" s="125">
        <f>+'Profit&amp;Loss'!G21</f>
        <v>154.20028282031254</v>
      </c>
      <c r="H4" s="125">
        <f>+'Profit&amp;Loss'!H21</f>
        <v>169.05505681523442</v>
      </c>
      <c r="I4" s="126">
        <f>+'Profit&amp;Loss'!I21</f>
        <v>176.03469605017577</v>
      </c>
    </row>
    <row r="5" spans="1:9" ht="12.75">
      <c r="A5" s="127" t="s">
        <v>206</v>
      </c>
      <c r="B5" s="31">
        <f>+'Profit&amp;Loss'!B20</f>
        <v>6.375</v>
      </c>
      <c r="C5" s="31">
        <f>+'Profit&amp;Loss'!C20</f>
        <v>4.44375</v>
      </c>
      <c r="D5" s="31">
        <f>+'Profit&amp;Loss'!D20</f>
        <v>3.4490625</v>
      </c>
      <c r="E5" s="31">
        <f>+'Profit&amp;Loss'!E20</f>
        <v>2.859421875</v>
      </c>
      <c r="F5" s="31">
        <f>+'Profit&amp;Loss'!F20</f>
        <v>2.45712890625</v>
      </c>
      <c r="G5" s="31">
        <f>+'Profit&amp;Loss'!G20</f>
        <v>2.1510329296874997</v>
      </c>
      <c r="H5" s="31">
        <f>+'Profit&amp;Loss'!H20</f>
        <v>1.9013943222656247</v>
      </c>
      <c r="I5" s="34">
        <f>+'Profit&amp;Loss'!I20</f>
        <v>1.6896542041992186</v>
      </c>
    </row>
    <row r="6" spans="1:10" ht="13.5" thickBot="1">
      <c r="A6" s="128" t="s">
        <v>205</v>
      </c>
      <c r="B6" s="129">
        <f>+'Profit&amp;Loss'!B8</f>
        <v>20</v>
      </c>
      <c r="C6" s="129">
        <f>+'Profit&amp;Loss'!C8</f>
        <v>28</v>
      </c>
      <c r="D6" s="129">
        <f>+'Profit&amp;Loss'!D8</f>
        <v>28</v>
      </c>
      <c r="E6" s="129">
        <f>+'Profit&amp;Loss'!E8</f>
        <v>28</v>
      </c>
      <c r="F6" s="129">
        <f>+'Profit&amp;Loss'!F8</f>
        <v>28</v>
      </c>
      <c r="G6" s="129">
        <f>+'Profit&amp;Loss'!G8</f>
        <v>8</v>
      </c>
      <c r="H6" s="129">
        <f>+'Profit&amp;Loss'!H8</f>
        <v>0</v>
      </c>
      <c r="I6" s="130">
        <f>+'Profit&amp;Loss'!I8</f>
        <v>0</v>
      </c>
      <c r="J6" s="3"/>
    </row>
    <row r="7" spans="1:9" ht="13.5" thickBot="1">
      <c r="A7" s="21"/>
      <c r="B7" s="60"/>
      <c r="C7" s="60"/>
      <c r="D7" s="60"/>
      <c r="E7" s="60"/>
      <c r="F7" s="60"/>
      <c r="G7" s="60"/>
      <c r="H7" s="60"/>
      <c r="I7" s="20"/>
    </row>
    <row r="8" spans="1:9" ht="13.5" thickBot="1">
      <c r="A8" s="133" t="s">
        <v>207</v>
      </c>
      <c r="B8" s="43">
        <f>SUM(B4:B7)</f>
        <v>27.200000000000003</v>
      </c>
      <c r="C8" s="43">
        <f aca="true" t="shared" si="0" ref="C8:I8">SUM(C4:C7)</f>
        <v>50.22000000000001</v>
      </c>
      <c r="D8" s="43">
        <f t="shared" si="0"/>
        <v>92.652</v>
      </c>
      <c r="E8" s="43">
        <f t="shared" si="0"/>
        <v>109.98020000000002</v>
      </c>
      <c r="F8" s="43">
        <f t="shared" si="0"/>
        <v>143.32962000000003</v>
      </c>
      <c r="G8" s="43">
        <f t="shared" si="0"/>
        <v>164.35131575000003</v>
      </c>
      <c r="H8" s="43">
        <f t="shared" si="0"/>
        <v>170.95645113750004</v>
      </c>
      <c r="I8" s="45">
        <f t="shared" si="0"/>
        <v>177.724350254375</v>
      </c>
    </row>
    <row r="9" ht="13.5" thickBot="1"/>
    <row r="10" spans="1:9" ht="13.5" thickBot="1">
      <c r="A10" s="175" t="s">
        <v>208</v>
      </c>
      <c r="B10" s="141"/>
      <c r="C10" s="141"/>
      <c r="D10" s="141"/>
      <c r="E10" s="141"/>
      <c r="F10" s="141"/>
      <c r="G10" s="141"/>
      <c r="H10" s="141"/>
      <c r="I10" s="17"/>
    </row>
    <row r="11" spans="1:9" ht="12.75">
      <c r="A11" s="124" t="s">
        <v>209</v>
      </c>
      <c r="B11" s="125">
        <f>interest!B48</f>
        <v>0</v>
      </c>
      <c r="C11" s="125">
        <f>interest!C48</f>
        <v>11.030303030303031</v>
      </c>
      <c r="D11" s="125">
        <f>interest!D48</f>
        <v>11.030303030303031</v>
      </c>
      <c r="E11" s="125">
        <f>interest!E48</f>
        <v>11.030303030303031</v>
      </c>
      <c r="F11" s="125">
        <f>interest!F48</f>
        <v>11.030303030303031</v>
      </c>
      <c r="G11" s="125">
        <f>interest!G48</f>
        <v>11.03</v>
      </c>
      <c r="H11" s="125">
        <f>interest!H48</f>
        <v>0</v>
      </c>
      <c r="I11" s="126">
        <f>interest!I48</f>
        <v>0</v>
      </c>
    </row>
    <row r="12" spans="1:9" ht="12.75">
      <c r="A12" s="18" t="s">
        <v>111</v>
      </c>
      <c r="B12" s="31">
        <f>interest!B51</f>
        <v>7.996969696969697</v>
      </c>
      <c r="C12" s="31">
        <f>interest!C51</f>
        <v>6.9973484848484855</v>
      </c>
      <c r="D12" s="31">
        <f>interest!D51</f>
        <v>5.397954545454545</v>
      </c>
      <c r="E12" s="31">
        <f>interest!E51</f>
        <v>3.7985606060606063</v>
      </c>
      <c r="F12" s="31">
        <f>interest!F51</f>
        <v>2.1991666666666663</v>
      </c>
      <c r="G12" s="31">
        <f>interest!G51</f>
        <v>0.5997727272727272</v>
      </c>
      <c r="H12" s="31">
        <f>interest!H51</f>
        <v>0</v>
      </c>
      <c r="I12" s="34">
        <f>interest!I51</f>
        <v>0</v>
      </c>
    </row>
    <row r="13" spans="1:9" ht="12.75">
      <c r="A13" s="18" t="s">
        <v>210</v>
      </c>
      <c r="B13" s="84">
        <f>Depriciation!$C$10</f>
        <v>0</v>
      </c>
      <c r="C13" s="84">
        <f>Depriciation!$C$17</f>
        <v>0</v>
      </c>
      <c r="D13" s="84">
        <f>Depriciation!$C$24</f>
        <v>0</v>
      </c>
      <c r="E13" s="84">
        <f>Depriciation!$C$31</f>
        <v>0</v>
      </c>
      <c r="F13" s="84">
        <f>Depriciation!$C$38</f>
        <v>0</v>
      </c>
      <c r="G13" s="84">
        <f>Depriciation!$C$45</f>
        <v>0</v>
      </c>
      <c r="H13" s="84">
        <f>Depriciation!$C$52</f>
        <v>0</v>
      </c>
      <c r="I13" s="131">
        <f>Depriciation!$C$59</f>
        <v>0</v>
      </c>
    </row>
    <row r="14" spans="1:9" ht="12.75">
      <c r="A14" s="18" t="s">
        <v>211</v>
      </c>
      <c r="B14" s="31">
        <f>'Profit&amp;Loss'!B27</f>
        <v>0</v>
      </c>
      <c r="C14" s="31">
        <f>'Profit&amp;Loss'!C27</f>
        <v>5.119978219696975</v>
      </c>
      <c r="D14" s="31">
        <f>'Profit&amp;Loss'!D27</f>
        <v>26.507366903409093</v>
      </c>
      <c r="E14" s="31">
        <f>'Profit&amp;Loss'!E27</f>
        <v>35.77805332149622</v>
      </c>
      <c r="F14" s="31">
        <f>'Profit&amp;Loss'!F27</f>
        <v>52.5698291028646</v>
      </c>
      <c r="G14" s="31">
        <f>'Profit&amp;Loss'!G27</f>
        <v>72.9602422941939</v>
      </c>
      <c r="H14" s="176">
        <f>'Profit&amp;Loss'!H27</f>
        <v>80.30115198723635</v>
      </c>
      <c r="I14" s="34">
        <f>'Profit&amp;Loss'!I27</f>
        <v>83.61648062383348</v>
      </c>
    </row>
    <row r="15" spans="1:9" ht="13.5" thickBot="1">
      <c r="A15" s="128" t="s">
        <v>212</v>
      </c>
      <c r="B15" s="129">
        <f>COP_MOF!B10</f>
        <v>100</v>
      </c>
      <c r="C15" s="129">
        <f>+expenditure!C63</f>
        <v>40</v>
      </c>
      <c r="D15" s="129">
        <f>+expenditure!D63</f>
        <v>0</v>
      </c>
      <c r="E15" s="129">
        <f>+expenditure!E63</f>
        <v>0</v>
      </c>
      <c r="F15" s="129">
        <f>+expenditure!F63</f>
        <v>0</v>
      </c>
      <c r="G15" s="129">
        <f>+expenditure!G63</f>
        <v>0</v>
      </c>
      <c r="H15" s="129">
        <f>+expenditure!H63</f>
        <v>0</v>
      </c>
      <c r="I15" s="130">
        <f>+expenditure!I63</f>
        <v>0</v>
      </c>
    </row>
    <row r="16" spans="1:9" ht="13.5" thickBot="1">
      <c r="A16" s="21"/>
      <c r="B16" s="60"/>
      <c r="C16" s="60"/>
      <c r="D16" s="60"/>
      <c r="E16" s="60"/>
      <c r="F16" s="60"/>
      <c r="G16" s="60"/>
      <c r="H16" s="60"/>
      <c r="I16" s="20"/>
    </row>
    <row r="17" spans="1:9" ht="13.5" thickBot="1">
      <c r="A17" s="133" t="s">
        <v>215</v>
      </c>
      <c r="B17" s="43">
        <f>SUM(B11:B16)</f>
        <v>107.9969696969697</v>
      </c>
      <c r="C17" s="43">
        <f aca="true" t="shared" si="1" ref="C17:I17">SUM(C11:C16)</f>
        <v>63.14762973484849</v>
      </c>
      <c r="D17" s="43">
        <f t="shared" si="1"/>
        <v>42.93562447916667</v>
      </c>
      <c r="E17" s="43">
        <f t="shared" si="1"/>
        <v>50.60691695785986</v>
      </c>
      <c r="F17" s="43">
        <f t="shared" si="1"/>
        <v>65.7992987998343</v>
      </c>
      <c r="G17" s="43">
        <f t="shared" si="1"/>
        <v>84.59001502146663</v>
      </c>
      <c r="H17" s="43">
        <f t="shared" si="1"/>
        <v>80.30115198723635</v>
      </c>
      <c r="I17" s="45">
        <f t="shared" si="1"/>
        <v>83.61648062383348</v>
      </c>
    </row>
    <row r="18" spans="1:9" ht="13.5" thickBot="1">
      <c r="A18" s="21"/>
      <c r="B18" s="60"/>
      <c r="C18" s="60"/>
      <c r="D18" s="60"/>
      <c r="E18" s="60"/>
      <c r="F18" s="60"/>
      <c r="G18" s="60"/>
      <c r="H18" s="60"/>
      <c r="I18" s="20"/>
    </row>
    <row r="19" spans="1:9" ht="12.75">
      <c r="A19" s="137" t="s">
        <v>213</v>
      </c>
      <c r="B19" s="138">
        <v>100</v>
      </c>
      <c r="C19" s="139">
        <f>+B21</f>
        <v>19.203030303030303</v>
      </c>
      <c r="D19" s="139">
        <f aca="true" t="shared" si="2" ref="D19:I19">+C21</f>
        <v>6.275400568181823</v>
      </c>
      <c r="E19" s="139">
        <f t="shared" si="2"/>
        <v>55.991776089015154</v>
      </c>
      <c r="F19" s="139">
        <f t="shared" si="2"/>
        <v>115.36505913115532</v>
      </c>
      <c r="G19" s="139">
        <f t="shared" si="2"/>
        <v>192.89538033132106</v>
      </c>
      <c r="H19" s="139">
        <f t="shared" si="2"/>
        <v>272.65668105985446</v>
      </c>
      <c r="I19" s="140">
        <f t="shared" si="2"/>
        <v>363.3119802101181</v>
      </c>
    </row>
    <row r="20" spans="1:9" ht="12.75">
      <c r="A20" s="18" t="s">
        <v>214</v>
      </c>
      <c r="B20" s="123">
        <f>B8-B17</f>
        <v>-80.7969696969697</v>
      </c>
      <c r="C20" s="123">
        <f aca="true" t="shared" si="3" ref="C20:I20">C8-C17</f>
        <v>-12.92762973484848</v>
      </c>
      <c r="D20" s="123">
        <f t="shared" si="3"/>
        <v>49.71637552083333</v>
      </c>
      <c r="E20" s="123">
        <f t="shared" si="3"/>
        <v>59.373283042140166</v>
      </c>
      <c r="F20" s="123">
        <f t="shared" si="3"/>
        <v>77.53032120016573</v>
      </c>
      <c r="G20" s="123">
        <f t="shared" si="3"/>
        <v>79.7613007285334</v>
      </c>
      <c r="H20" s="123">
        <f t="shared" si="3"/>
        <v>90.65529915026369</v>
      </c>
      <c r="I20" s="132">
        <f t="shared" si="3"/>
        <v>94.10786963054151</v>
      </c>
    </row>
    <row r="21" spans="1:9" ht="13.5" thickBot="1">
      <c r="A21" s="134" t="s">
        <v>216</v>
      </c>
      <c r="B21" s="135">
        <f>+B19+B20</f>
        <v>19.203030303030303</v>
      </c>
      <c r="C21" s="135">
        <f aca="true" t="shared" si="4" ref="C21:I21">+C19+C20</f>
        <v>6.275400568181823</v>
      </c>
      <c r="D21" s="135">
        <f t="shared" si="4"/>
        <v>55.991776089015154</v>
      </c>
      <c r="E21" s="135">
        <f t="shared" si="4"/>
        <v>115.36505913115532</v>
      </c>
      <c r="F21" s="135">
        <f t="shared" si="4"/>
        <v>192.89538033132106</v>
      </c>
      <c r="G21" s="135">
        <f t="shared" si="4"/>
        <v>272.65668105985446</v>
      </c>
      <c r="H21" s="135">
        <f t="shared" si="4"/>
        <v>363.3119802101181</v>
      </c>
      <c r="I21" s="136">
        <f t="shared" si="4"/>
        <v>457.41984984065965</v>
      </c>
    </row>
    <row r="22" ht="13.5" thickBot="1"/>
    <row r="23" spans="1:2" ht="13.5" thickBot="1">
      <c r="A23" s="188" t="s">
        <v>228</v>
      </c>
      <c r="B23" s="189">
        <f>IRR(B20:I20)</f>
        <v>0.4505559560753338</v>
      </c>
    </row>
    <row r="24" s="29" customFormat="1" ht="13.5" thickBot="1">
      <c r="B24" s="214"/>
    </row>
    <row r="25" spans="1:9" ht="13.5" thickBot="1">
      <c r="A25" s="215" t="s">
        <v>240</v>
      </c>
      <c r="B25" s="216">
        <v>0</v>
      </c>
      <c r="C25" s="216">
        <v>1</v>
      </c>
      <c r="D25" s="216">
        <v>2</v>
      </c>
      <c r="E25" s="216">
        <v>3</v>
      </c>
      <c r="F25" s="216">
        <v>4</v>
      </c>
      <c r="G25" s="216">
        <v>5</v>
      </c>
      <c r="H25" s="216">
        <v>6</v>
      </c>
      <c r="I25" s="217">
        <v>7</v>
      </c>
    </row>
    <row r="26" spans="1:9" ht="12.75">
      <c r="A26" s="21" t="s">
        <v>245</v>
      </c>
      <c r="B26" s="219">
        <v>0.3</v>
      </c>
      <c r="C26" s="219">
        <v>0.3</v>
      </c>
      <c r="D26" s="219">
        <v>0.3</v>
      </c>
      <c r="E26" s="219">
        <v>0.25</v>
      </c>
      <c r="F26" s="219">
        <v>0.25</v>
      </c>
      <c r="G26" s="219">
        <v>0.25</v>
      </c>
      <c r="H26" s="219">
        <v>0.2</v>
      </c>
      <c r="I26" s="220">
        <v>0.2</v>
      </c>
    </row>
    <row r="27" spans="1:9" ht="13.5" thickBot="1">
      <c r="A27" s="221" t="s">
        <v>231</v>
      </c>
      <c r="B27" s="33">
        <f>+B20/((1+B26)^B25)</f>
        <v>-80.7969696969697</v>
      </c>
      <c r="C27" s="33">
        <f aca="true" t="shared" si="5" ref="C27:I27">+C20/((1+C26)^C25)</f>
        <v>-9.94433056526806</v>
      </c>
      <c r="D27" s="33">
        <f t="shared" si="5"/>
        <v>29.417973680966465</v>
      </c>
      <c r="E27" s="33">
        <f t="shared" si="5"/>
        <v>30.399120917575765</v>
      </c>
      <c r="F27" s="33">
        <f t="shared" si="5"/>
        <v>31.756419563587883</v>
      </c>
      <c r="G27" s="33">
        <f t="shared" si="5"/>
        <v>26.136183022725824</v>
      </c>
      <c r="H27" s="33">
        <f t="shared" si="5"/>
        <v>30.360276260778253</v>
      </c>
      <c r="I27" s="33">
        <f t="shared" si="5"/>
        <v>26.263779274141434</v>
      </c>
    </row>
    <row r="28" spans="1:9" ht="13.5" thickBot="1">
      <c r="A28" s="215" t="s">
        <v>230</v>
      </c>
      <c r="B28" s="218">
        <f>SUM(B27:I27)+(I27/(0.2-0.06))</f>
        <v>271.19087584426234</v>
      </c>
      <c r="C28" s="222"/>
      <c r="D28" s="79"/>
      <c r="E28" s="79"/>
      <c r="F28" s="79"/>
      <c r="G28" s="79"/>
      <c r="H28" s="79"/>
      <c r="I28" s="80"/>
    </row>
    <row r="37" ht="12.75">
      <c r="O37" t="s">
        <v>246</v>
      </c>
    </row>
  </sheetData>
  <mergeCells count="1">
    <mergeCell ref="A1:I1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C1">
      <selection activeCell="G11" sqref="G11:N11"/>
    </sheetView>
  </sheetViews>
  <sheetFormatPr defaultColWidth="9.140625" defaultRowHeight="12.75"/>
  <cols>
    <col min="3" max="3" width="20.28125" style="0" bestFit="1" customWidth="1"/>
    <col min="5" max="5" width="21.28125" style="0" bestFit="1" customWidth="1"/>
  </cols>
  <sheetData>
    <row r="1" spans="7:11" ht="12.75">
      <c r="G1" t="s">
        <v>0</v>
      </c>
      <c r="H1" t="s">
        <v>1</v>
      </c>
      <c r="I1" t="s">
        <v>2</v>
      </c>
      <c r="J1" t="s">
        <v>133</v>
      </c>
      <c r="K1" t="s">
        <v>134</v>
      </c>
    </row>
    <row r="2" ht="12.75">
      <c r="G2" s="2" t="s">
        <v>19</v>
      </c>
    </row>
    <row r="3" spans="5:7" ht="12.75">
      <c r="E3" t="s">
        <v>196</v>
      </c>
      <c r="G3" s="9">
        <v>0.05</v>
      </c>
    </row>
    <row r="4" ht="12.75">
      <c r="G4" s="2"/>
    </row>
    <row r="5" spans="1:14" s="2" customFormat="1" ht="12.75">
      <c r="A5" s="2" t="s">
        <v>3</v>
      </c>
      <c r="E5" s="2" t="s">
        <v>18</v>
      </c>
      <c r="G5" s="81">
        <v>12000</v>
      </c>
      <c r="H5" s="81">
        <f>G5+G5*g</f>
        <v>12600</v>
      </c>
      <c r="I5" s="81">
        <f aca="true" t="shared" si="0" ref="I5:N5">H5+H5*g</f>
        <v>13230</v>
      </c>
      <c r="J5" s="81">
        <f t="shared" si="0"/>
        <v>13891.5</v>
      </c>
      <c r="K5" s="81">
        <f t="shared" si="0"/>
        <v>14586.075</v>
      </c>
      <c r="L5" s="81">
        <f t="shared" si="0"/>
        <v>15315.37875</v>
      </c>
      <c r="M5" s="81">
        <f t="shared" si="0"/>
        <v>16081.1476875</v>
      </c>
      <c r="N5" s="81">
        <f t="shared" si="0"/>
        <v>16885.205071875</v>
      </c>
    </row>
    <row r="6" ht="12.75">
      <c r="A6" t="s">
        <v>4</v>
      </c>
    </row>
    <row r="7" spans="1:5" ht="12.75">
      <c r="A7" t="s">
        <v>5</v>
      </c>
      <c r="E7" t="s">
        <v>20</v>
      </c>
    </row>
    <row r="8" spans="1:14" ht="12.75">
      <c r="A8" t="s">
        <v>6</v>
      </c>
      <c r="E8" t="s">
        <v>21</v>
      </c>
      <c r="G8" s="1">
        <f aca="true" t="shared" si="1" ref="G8:N8">G5*100000/460</f>
        <v>2608695.652173913</v>
      </c>
      <c r="H8" s="1">
        <f t="shared" si="1"/>
        <v>2739130.434782609</v>
      </c>
      <c r="I8" s="1">
        <f t="shared" si="1"/>
        <v>2876086.9565217393</v>
      </c>
      <c r="J8" s="1">
        <f t="shared" si="1"/>
        <v>3019891.304347826</v>
      </c>
      <c r="K8" s="1">
        <f t="shared" si="1"/>
        <v>3170885.8695652173</v>
      </c>
      <c r="L8" s="1">
        <f t="shared" si="1"/>
        <v>3329430.163043478</v>
      </c>
      <c r="M8" s="1">
        <f t="shared" si="1"/>
        <v>3495901.6711956523</v>
      </c>
      <c r="N8" s="1">
        <f t="shared" si="1"/>
        <v>3670696.7547554346</v>
      </c>
    </row>
    <row r="9" spans="1:3" ht="12.75">
      <c r="A9" t="s">
        <v>7</v>
      </c>
      <c r="C9">
        <v>21742</v>
      </c>
    </row>
    <row r="10" spans="1:5" ht="12.75">
      <c r="A10" t="s">
        <v>11</v>
      </c>
      <c r="E10" t="s">
        <v>22</v>
      </c>
    </row>
    <row r="11" spans="1:14" ht="12.75">
      <c r="A11" t="s">
        <v>9</v>
      </c>
      <c r="E11" t="s">
        <v>23</v>
      </c>
      <c r="F11">
        <v>1</v>
      </c>
      <c r="G11">
        <v>2</v>
      </c>
      <c r="H11">
        <v>3</v>
      </c>
      <c r="I11">
        <v>4.5</v>
      </c>
      <c r="J11">
        <v>5</v>
      </c>
      <c r="K11">
        <v>6</v>
      </c>
      <c r="L11">
        <v>6.5</v>
      </c>
      <c r="M11">
        <v>6.5</v>
      </c>
      <c r="N11">
        <v>6.5</v>
      </c>
    </row>
    <row r="12" spans="1:3" ht="12.75">
      <c r="A12" t="s">
        <v>8</v>
      </c>
      <c r="C12">
        <v>99.62</v>
      </c>
    </row>
    <row r="13" spans="5:14" ht="12.75">
      <c r="E13" t="s">
        <v>24</v>
      </c>
      <c r="G13">
        <f aca="true" t="shared" si="2" ref="G13:N13">G5*G11/100</f>
        <v>240</v>
      </c>
      <c r="H13">
        <f t="shared" si="2"/>
        <v>378</v>
      </c>
      <c r="I13">
        <f t="shared" si="2"/>
        <v>595.35</v>
      </c>
      <c r="J13">
        <f t="shared" si="2"/>
        <v>694.575</v>
      </c>
      <c r="K13">
        <f t="shared" si="2"/>
        <v>875.1645000000001</v>
      </c>
      <c r="L13">
        <f t="shared" si="2"/>
        <v>995.49961875</v>
      </c>
      <c r="M13">
        <f t="shared" si="2"/>
        <v>1045.2745996875</v>
      </c>
      <c r="N13">
        <f t="shared" si="2"/>
        <v>1097.5383296718749</v>
      </c>
    </row>
    <row r="14" spans="1:3" ht="12.75">
      <c r="A14" t="s">
        <v>10</v>
      </c>
      <c r="C14">
        <f>9962000/21742</f>
        <v>458.19151871952903</v>
      </c>
    </row>
    <row r="15" spans="1:14" ht="12.75">
      <c r="A15" t="s">
        <v>154</v>
      </c>
      <c r="C15">
        <v>460</v>
      </c>
      <c r="E15" t="s">
        <v>25</v>
      </c>
      <c r="G15">
        <f aca="true" t="shared" si="3" ref="G15:N15">G13*0.2</f>
        <v>48</v>
      </c>
      <c r="H15">
        <f>H13*0.2</f>
        <v>75.60000000000001</v>
      </c>
      <c r="I15">
        <f>I13*0.2</f>
        <v>119.07000000000001</v>
      </c>
      <c r="J15">
        <f>J13*0.2</f>
        <v>138.91500000000002</v>
      </c>
      <c r="K15">
        <f t="shared" si="3"/>
        <v>175.03290000000004</v>
      </c>
      <c r="L15">
        <f t="shared" si="3"/>
        <v>199.09992375000002</v>
      </c>
      <c r="M15">
        <f t="shared" si="3"/>
        <v>209.05491993750002</v>
      </c>
      <c r="N15">
        <f t="shared" si="3"/>
        <v>219.50766593437498</v>
      </c>
    </row>
    <row r="17" spans="1:12" ht="12.75">
      <c r="A17" t="s">
        <v>12</v>
      </c>
      <c r="E17" t="s">
        <v>26</v>
      </c>
      <c r="G17">
        <v>135</v>
      </c>
      <c r="H17">
        <v>48.75</v>
      </c>
      <c r="I17">
        <v>40.4</v>
      </c>
      <c r="L17">
        <v>60</v>
      </c>
    </row>
    <row r="18" ht="12.75">
      <c r="A18" t="s">
        <v>13</v>
      </c>
    </row>
    <row r="19" spans="1:9" ht="12.75">
      <c r="A19" t="s">
        <v>14</v>
      </c>
      <c r="C19">
        <f>(99.62*360)/12</f>
        <v>2988.6000000000004</v>
      </c>
      <c r="E19" t="s">
        <v>27</v>
      </c>
      <c r="G19">
        <f>G15-G17</f>
        <v>-87</v>
      </c>
      <c r="H19">
        <f>H15-H17</f>
        <v>26.85000000000001</v>
      </c>
      <c r="I19">
        <f>I15-I17</f>
        <v>78.67000000000002</v>
      </c>
    </row>
    <row r="20" spans="1:3" ht="12.75">
      <c r="A20" t="s">
        <v>15</v>
      </c>
      <c r="C20" t="s">
        <v>16</v>
      </c>
    </row>
    <row r="22" spans="1:5" ht="12.75">
      <c r="A22" t="s">
        <v>17</v>
      </c>
      <c r="E22" t="s">
        <v>28</v>
      </c>
    </row>
    <row r="23" spans="1:9" ht="12.75">
      <c r="A23" t="s">
        <v>30</v>
      </c>
      <c r="C23" t="s">
        <v>31</v>
      </c>
      <c r="E23" t="s">
        <v>29</v>
      </c>
      <c r="G23" s="1">
        <f>G8*G11/100</f>
        <v>52173.913043478264</v>
      </c>
      <c r="H23" s="1">
        <f>H8*H11/100</f>
        <v>82173.91304347826</v>
      </c>
      <c r="I23" s="1">
        <f>I8*I11/100</f>
        <v>129423.91304347826</v>
      </c>
    </row>
    <row r="24" ht="12.75">
      <c r="E24" t="s">
        <v>35</v>
      </c>
    </row>
    <row r="26" spans="5:9" ht="12.75">
      <c r="E26" t="s">
        <v>36</v>
      </c>
      <c r="G26" s="1">
        <f>G23*458/850</f>
        <v>28112.53196930946</v>
      </c>
      <c r="H26" s="1">
        <f>H23*458/850</f>
        <v>44277.2378516624</v>
      </c>
      <c r="I26" s="1">
        <f>I23*458/850</f>
        <v>69736.64961636828</v>
      </c>
    </row>
    <row r="28" spans="5:9" ht="12.75">
      <c r="E28" t="s">
        <v>34</v>
      </c>
      <c r="G28">
        <v>20</v>
      </c>
      <c r="H28">
        <v>20</v>
      </c>
      <c r="I28">
        <v>20</v>
      </c>
    </row>
    <row r="35" ht="12.75">
      <c r="A35" t="s">
        <v>32</v>
      </c>
    </row>
    <row r="36" spans="1:3" ht="12.75">
      <c r="A36" t="s">
        <v>33</v>
      </c>
      <c r="C36">
        <f>2938350/(724+3922)+998550/(724+3922)</f>
        <v>847.3740852346104</v>
      </c>
    </row>
    <row r="45" ht="12.75">
      <c r="F45" s="4"/>
    </row>
    <row r="47" ht="12.75">
      <c r="C47" s="4"/>
    </row>
    <row r="49" ht="12.75">
      <c r="C49" s="5"/>
    </row>
    <row r="51" spans="3:5" ht="12.75">
      <c r="C51" s="6"/>
      <c r="E51" s="7"/>
    </row>
    <row r="52" spans="3:5" ht="12.75">
      <c r="C52" s="8"/>
      <c r="E52" s="4"/>
    </row>
    <row r="54" ht="12.75">
      <c r="C54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workbookViewId="0" topLeftCell="A1">
      <selection activeCell="A12" sqref="A12"/>
    </sheetView>
  </sheetViews>
  <sheetFormatPr defaultColWidth="9.140625" defaultRowHeight="12.75"/>
  <cols>
    <col min="1" max="1" width="22.8515625" style="106" customWidth="1"/>
    <col min="2" max="16384" width="11.28125" style="91" customWidth="1"/>
  </cols>
  <sheetData>
    <row r="1" spans="1:9" ht="21" thickBot="1">
      <c r="A1" s="251" t="s">
        <v>226</v>
      </c>
      <c r="B1" s="252"/>
      <c r="C1" s="252"/>
      <c r="D1" s="252"/>
      <c r="E1" s="252"/>
      <c r="F1" s="252"/>
      <c r="G1" s="252"/>
      <c r="H1" s="252"/>
      <c r="I1" s="253"/>
    </row>
    <row r="2" spans="1:9" ht="13.5" thickBot="1">
      <c r="A2" s="85" t="s">
        <v>159</v>
      </c>
      <c r="B2" s="89" t="s">
        <v>0</v>
      </c>
      <c r="C2" s="89" t="s">
        <v>1</v>
      </c>
      <c r="D2" s="89" t="s">
        <v>92</v>
      </c>
      <c r="E2" s="89" t="s">
        <v>93</v>
      </c>
      <c r="F2" s="89" t="s">
        <v>94</v>
      </c>
      <c r="G2" s="89" t="s">
        <v>197</v>
      </c>
      <c r="H2" s="89" t="s">
        <v>198</v>
      </c>
      <c r="I2" s="90" t="s">
        <v>199</v>
      </c>
    </row>
    <row r="3" spans="1:9" ht="12.75">
      <c r="A3" s="92" t="s">
        <v>224</v>
      </c>
      <c r="B3" s="93"/>
      <c r="C3" s="93"/>
      <c r="D3" s="93"/>
      <c r="E3" s="93"/>
      <c r="F3" s="93"/>
      <c r="G3" s="93"/>
      <c r="H3" s="93"/>
      <c r="I3" s="94"/>
    </row>
    <row r="4" spans="1:9" ht="12.75">
      <c r="A4" s="95" t="s">
        <v>95</v>
      </c>
      <c r="B4" s="96">
        <f>'income cal'!G15</f>
        <v>48</v>
      </c>
      <c r="C4" s="96">
        <f>'income cal'!H15</f>
        <v>75.60000000000001</v>
      </c>
      <c r="D4" s="96">
        <f>'income cal'!I15</f>
        <v>119.07000000000001</v>
      </c>
      <c r="E4" s="96">
        <f>'income cal'!J15</f>
        <v>138.91500000000002</v>
      </c>
      <c r="F4" s="96">
        <f>'income cal'!K15</f>
        <v>175.03290000000004</v>
      </c>
      <c r="G4" s="96">
        <f>'income cal'!L15</f>
        <v>199.09992375000002</v>
      </c>
      <c r="H4" s="96">
        <f>'income cal'!M15</f>
        <v>209.05491993750002</v>
      </c>
      <c r="I4" s="97">
        <f>'income cal'!N15</f>
        <v>219.50766593437498</v>
      </c>
    </row>
    <row r="5" spans="1:9" ht="13.5" thickBot="1">
      <c r="A5" s="108" t="s">
        <v>105</v>
      </c>
      <c r="B5" s="109">
        <f aca="true" t="shared" si="0" ref="B5:I5">B4</f>
        <v>48</v>
      </c>
      <c r="C5" s="109">
        <f t="shared" si="0"/>
        <v>75.60000000000001</v>
      </c>
      <c r="D5" s="109">
        <f t="shared" si="0"/>
        <v>119.07000000000001</v>
      </c>
      <c r="E5" s="109">
        <f t="shared" si="0"/>
        <v>138.91500000000002</v>
      </c>
      <c r="F5" s="109">
        <f t="shared" si="0"/>
        <v>175.03290000000004</v>
      </c>
      <c r="G5" s="109">
        <f t="shared" si="0"/>
        <v>199.09992375000002</v>
      </c>
      <c r="H5" s="109">
        <f t="shared" si="0"/>
        <v>209.05491993750002</v>
      </c>
      <c r="I5" s="110">
        <f t="shared" si="0"/>
        <v>219.50766593437498</v>
      </c>
    </row>
    <row r="6" spans="1:9" ht="13.5" thickBot="1">
      <c r="A6" s="98"/>
      <c r="B6" s="99"/>
      <c r="C6" s="99"/>
      <c r="D6" s="99"/>
      <c r="E6" s="99"/>
      <c r="F6" s="99"/>
      <c r="G6" s="99"/>
      <c r="H6" s="99"/>
      <c r="I6" s="100"/>
    </row>
    <row r="7" spans="1:9" ht="12.75">
      <c r="A7" s="88" t="s">
        <v>96</v>
      </c>
      <c r="B7" s="101"/>
      <c r="C7" s="101"/>
      <c r="D7" s="101"/>
      <c r="E7" s="101"/>
      <c r="F7" s="101"/>
      <c r="G7" s="101"/>
      <c r="H7" s="101"/>
      <c r="I7" s="102"/>
    </row>
    <row r="8" spans="1:9" ht="26.25">
      <c r="A8" s="95" t="s">
        <v>222</v>
      </c>
      <c r="B8" s="96">
        <f>+expenditure!B64</f>
        <v>20</v>
      </c>
      <c r="C8" s="96">
        <f>+expenditure!C64</f>
        <v>28</v>
      </c>
      <c r="D8" s="96">
        <f>+expenditure!D64</f>
        <v>28</v>
      </c>
      <c r="E8" s="96">
        <f>+expenditure!E64</f>
        <v>28</v>
      </c>
      <c r="F8" s="96">
        <f>+expenditure!F64</f>
        <v>28</v>
      </c>
      <c r="G8" s="96">
        <f>+expenditure!G64</f>
        <v>8</v>
      </c>
      <c r="H8" s="96">
        <f>+expenditure!H64</f>
        <v>0</v>
      </c>
      <c r="I8" s="97">
        <f>+expenditure!I64</f>
        <v>0</v>
      </c>
    </row>
    <row r="9" spans="1:9" ht="26.25">
      <c r="A9" s="95" t="s">
        <v>135</v>
      </c>
      <c r="B9" s="96">
        <f>'p&amp;l'!C12</f>
        <v>15.3</v>
      </c>
      <c r="C9" s="96">
        <f aca="true" t="shared" si="1" ref="C9:I10">B9+B9*10%</f>
        <v>16.830000000000002</v>
      </c>
      <c r="D9" s="96">
        <f t="shared" si="1"/>
        <v>18.513</v>
      </c>
      <c r="E9" s="96">
        <f t="shared" si="1"/>
        <v>20.3643</v>
      </c>
      <c r="F9" s="96">
        <f t="shared" si="1"/>
        <v>22.40073</v>
      </c>
      <c r="G9" s="96">
        <f t="shared" si="1"/>
        <v>24.640803</v>
      </c>
      <c r="H9" s="96">
        <f t="shared" si="1"/>
        <v>27.104883299999997</v>
      </c>
      <c r="I9" s="97">
        <f t="shared" si="1"/>
        <v>29.815371629999998</v>
      </c>
    </row>
    <row r="10" spans="1:9" ht="39">
      <c r="A10" s="95" t="s">
        <v>223</v>
      </c>
      <c r="B10" s="96">
        <v>5.5</v>
      </c>
      <c r="C10" s="96">
        <f t="shared" si="1"/>
        <v>6.05</v>
      </c>
      <c r="D10" s="96">
        <f t="shared" si="1"/>
        <v>6.654999999999999</v>
      </c>
      <c r="E10" s="96">
        <f t="shared" si="1"/>
        <v>7.320499999999999</v>
      </c>
      <c r="F10" s="96">
        <f t="shared" si="1"/>
        <v>8.052549999999998</v>
      </c>
      <c r="G10" s="96">
        <f t="shared" si="1"/>
        <v>8.857804999999999</v>
      </c>
      <c r="H10" s="96">
        <f t="shared" si="1"/>
        <v>9.743585499999998</v>
      </c>
      <c r="I10" s="97">
        <f t="shared" si="1"/>
        <v>10.717944049999998</v>
      </c>
    </row>
    <row r="11" spans="1:9" ht="12.75">
      <c r="A11" s="95" t="s">
        <v>101</v>
      </c>
      <c r="B11" s="96"/>
      <c r="C11" s="96">
        <v>0.75</v>
      </c>
      <c r="D11" s="96"/>
      <c r="E11" s="96"/>
      <c r="F11" s="96"/>
      <c r="G11" s="96"/>
      <c r="H11" s="96"/>
      <c r="I11" s="97"/>
    </row>
    <row r="12" spans="1:9" ht="12.75">
      <c r="A12" s="95" t="s">
        <v>102</v>
      </c>
      <c r="B12" s="96"/>
      <c r="C12" s="96">
        <v>0.5</v>
      </c>
      <c r="D12" s="96"/>
      <c r="E12" s="96"/>
      <c r="F12" s="96"/>
      <c r="G12" s="96"/>
      <c r="H12" s="96"/>
      <c r="I12" s="97"/>
    </row>
    <row r="13" spans="1:9" ht="12.75">
      <c r="A13" s="95" t="s">
        <v>103</v>
      </c>
      <c r="B13" s="96"/>
      <c r="C13" s="96">
        <v>1</v>
      </c>
      <c r="D13" s="96">
        <v>1</v>
      </c>
      <c r="E13" s="96">
        <v>1</v>
      </c>
      <c r="F13" s="96">
        <v>1</v>
      </c>
      <c r="G13" s="96">
        <v>1</v>
      </c>
      <c r="H13" s="96">
        <v>1</v>
      </c>
      <c r="I13" s="97">
        <v>1</v>
      </c>
    </row>
    <row r="14" spans="1:9" ht="12.75">
      <c r="A14" s="95" t="s">
        <v>104</v>
      </c>
      <c r="B14" s="96"/>
      <c r="C14" s="96">
        <v>0.25</v>
      </c>
      <c r="D14" s="96">
        <v>0.25</v>
      </c>
      <c r="E14" s="96">
        <v>0.25</v>
      </c>
      <c r="F14" s="96">
        <v>0.25</v>
      </c>
      <c r="G14" s="96">
        <v>0.25</v>
      </c>
      <c r="H14" s="96">
        <v>0.25</v>
      </c>
      <c r="I14" s="97">
        <v>0.25</v>
      </c>
    </row>
    <row r="15" spans="1:9" ht="37.5" customHeight="1" thickBot="1">
      <c r="A15" s="108" t="s">
        <v>106</v>
      </c>
      <c r="B15" s="109">
        <f aca="true" t="shared" si="2" ref="B15:I15">SUM(B7:B14)</f>
        <v>40.8</v>
      </c>
      <c r="C15" s="109">
        <f t="shared" si="2"/>
        <v>53.379999999999995</v>
      </c>
      <c r="D15" s="109">
        <f t="shared" si="2"/>
        <v>54.418000000000006</v>
      </c>
      <c r="E15" s="109">
        <f t="shared" si="2"/>
        <v>56.934799999999996</v>
      </c>
      <c r="F15" s="109">
        <f t="shared" si="2"/>
        <v>59.70327999999999</v>
      </c>
      <c r="G15" s="109">
        <f t="shared" si="2"/>
        <v>42.748608</v>
      </c>
      <c r="H15" s="109">
        <f t="shared" si="2"/>
        <v>38.09846879999999</v>
      </c>
      <c r="I15" s="110">
        <f t="shared" si="2"/>
        <v>41.783315679999994</v>
      </c>
    </row>
    <row r="16" spans="1:9" ht="13.5" thickBo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2.75">
      <c r="A17" s="111" t="s">
        <v>108</v>
      </c>
      <c r="B17" s="112">
        <f aca="true" t="shared" si="3" ref="B17:I17">B5-B15</f>
        <v>7.200000000000003</v>
      </c>
      <c r="C17" s="112">
        <f t="shared" si="3"/>
        <v>22.220000000000013</v>
      </c>
      <c r="D17" s="112">
        <f t="shared" si="3"/>
        <v>64.652</v>
      </c>
      <c r="E17" s="112">
        <f t="shared" si="3"/>
        <v>81.98020000000002</v>
      </c>
      <c r="F17" s="112">
        <f t="shared" si="3"/>
        <v>115.32962000000005</v>
      </c>
      <c r="G17" s="112">
        <f t="shared" si="3"/>
        <v>156.35131575000003</v>
      </c>
      <c r="H17" s="112">
        <f t="shared" si="3"/>
        <v>170.95645113750004</v>
      </c>
      <c r="I17" s="113">
        <f t="shared" si="3"/>
        <v>177.724350254375</v>
      </c>
    </row>
    <row r="18" spans="1:9" ht="27.75" customHeight="1" thickBot="1">
      <c r="A18" s="117" t="s">
        <v>225</v>
      </c>
      <c r="B18" s="118">
        <f aca="true" t="shared" si="4" ref="B18:I18">B17/B5</f>
        <v>0.15000000000000005</v>
      </c>
      <c r="C18" s="118">
        <f t="shared" si="4"/>
        <v>0.2939153439153441</v>
      </c>
      <c r="D18" s="118">
        <f t="shared" si="4"/>
        <v>0.5429747207524985</v>
      </c>
      <c r="E18" s="118">
        <f t="shared" si="4"/>
        <v>0.5901464924594177</v>
      </c>
      <c r="F18" s="118">
        <f t="shared" si="4"/>
        <v>0.658902526325051</v>
      </c>
      <c r="G18" s="118">
        <f t="shared" si="4"/>
        <v>0.7852906862301097</v>
      </c>
      <c r="H18" s="118">
        <f t="shared" si="4"/>
        <v>0.8177585640587169</v>
      </c>
      <c r="I18" s="119">
        <f t="shared" si="4"/>
        <v>0.8096498566364797</v>
      </c>
    </row>
    <row r="19" spans="1:9" ht="27.75" customHeight="1" thickBot="1">
      <c r="A19" s="98"/>
      <c r="B19" s="103"/>
      <c r="C19" s="103"/>
      <c r="D19" s="103"/>
      <c r="E19" s="103"/>
      <c r="F19" s="103"/>
      <c r="G19" s="103"/>
      <c r="H19" s="103"/>
      <c r="I19" s="104"/>
    </row>
    <row r="20" spans="1:9" ht="26.25">
      <c r="A20" s="92" t="s">
        <v>131</v>
      </c>
      <c r="B20" s="101">
        <f>+Depriciation!B63</f>
        <v>6.375</v>
      </c>
      <c r="C20" s="101">
        <f>+Depriciation!C63</f>
        <v>4.44375</v>
      </c>
      <c r="D20" s="101">
        <f>+Depriciation!D63</f>
        <v>3.4490625</v>
      </c>
      <c r="E20" s="101">
        <f>+Depriciation!E63</f>
        <v>2.859421875</v>
      </c>
      <c r="F20" s="101">
        <f>+Depriciation!F63</f>
        <v>2.45712890625</v>
      </c>
      <c r="G20" s="101">
        <f>+Depriciation!G63</f>
        <v>2.1510329296874997</v>
      </c>
      <c r="H20" s="101">
        <f>+Depriciation!H63</f>
        <v>1.9013943222656247</v>
      </c>
      <c r="I20" s="102">
        <f>+Depriciation!I63</f>
        <v>1.6896542041992186</v>
      </c>
    </row>
    <row r="21" spans="1:9" ht="13.5" thickBot="1">
      <c r="A21" s="108" t="s">
        <v>110</v>
      </c>
      <c r="B21" s="109">
        <f>B17-(B20)</f>
        <v>0.8250000000000028</v>
      </c>
      <c r="C21" s="109">
        <f aca="true" t="shared" si="5" ref="C21:I21">C17-(C20)</f>
        <v>17.77625000000001</v>
      </c>
      <c r="D21" s="109">
        <f t="shared" si="5"/>
        <v>61.202937500000004</v>
      </c>
      <c r="E21" s="109">
        <f t="shared" si="5"/>
        <v>79.12077812500003</v>
      </c>
      <c r="F21" s="109">
        <f t="shared" si="5"/>
        <v>112.87249109375004</v>
      </c>
      <c r="G21" s="109">
        <f t="shared" si="5"/>
        <v>154.20028282031254</v>
      </c>
      <c r="H21" s="109">
        <f t="shared" si="5"/>
        <v>169.05505681523442</v>
      </c>
      <c r="I21" s="110">
        <f t="shared" si="5"/>
        <v>176.03469605017577</v>
      </c>
    </row>
    <row r="22" spans="1:9" ht="13.5" thickBot="1">
      <c r="A22" s="98"/>
      <c r="B22" s="99"/>
      <c r="C22" s="99"/>
      <c r="D22" s="99"/>
      <c r="E22" s="99"/>
      <c r="F22" s="99"/>
      <c r="G22" s="99"/>
      <c r="H22" s="99"/>
      <c r="I22" s="100"/>
    </row>
    <row r="23" spans="1:9" ht="12.75">
      <c r="A23" s="92" t="s">
        <v>111</v>
      </c>
      <c r="B23" s="101">
        <f>+interest!B51</f>
        <v>7.996969696969697</v>
      </c>
      <c r="C23" s="101">
        <f>+interest!C51</f>
        <v>6.9973484848484855</v>
      </c>
      <c r="D23" s="101">
        <f>+interest!D51</f>
        <v>5.397954545454545</v>
      </c>
      <c r="E23" s="101">
        <f>+interest!E51</f>
        <v>3.7985606060606063</v>
      </c>
      <c r="F23" s="101">
        <f>+interest!F51</f>
        <v>2.1991666666666663</v>
      </c>
      <c r="G23" s="101">
        <f>+interest!G51</f>
        <v>0.5997727272727272</v>
      </c>
      <c r="H23" s="101"/>
      <c r="I23" s="102"/>
    </row>
    <row r="24" spans="1:9" ht="12.75">
      <c r="A24" s="114" t="s">
        <v>112</v>
      </c>
      <c r="B24" s="115">
        <f aca="true" t="shared" si="6" ref="B24:I24">B21-B23</f>
        <v>-7.171969696969694</v>
      </c>
      <c r="C24" s="115">
        <f t="shared" si="6"/>
        <v>10.778901515151526</v>
      </c>
      <c r="D24" s="115">
        <f t="shared" si="6"/>
        <v>55.80498295454546</v>
      </c>
      <c r="E24" s="115">
        <f t="shared" si="6"/>
        <v>75.32221751893942</v>
      </c>
      <c r="F24" s="115">
        <f t="shared" si="6"/>
        <v>110.67332442708337</v>
      </c>
      <c r="G24" s="115">
        <f t="shared" si="6"/>
        <v>153.60051009303982</v>
      </c>
      <c r="H24" s="115">
        <f t="shared" si="6"/>
        <v>169.05505681523442</v>
      </c>
      <c r="I24" s="116">
        <f t="shared" si="6"/>
        <v>176.03469605017577</v>
      </c>
    </row>
    <row r="25" spans="1:9" ht="13.5" thickBot="1">
      <c r="A25" s="120" t="s">
        <v>113</v>
      </c>
      <c r="B25" s="118">
        <f aca="true" t="shared" si="7" ref="B25:I25">B24/B5</f>
        <v>-0.1494160353535353</v>
      </c>
      <c r="C25" s="118">
        <f t="shared" si="7"/>
        <v>0.14257806236972917</v>
      </c>
      <c r="D25" s="118">
        <f t="shared" si="7"/>
        <v>0.4686737461539049</v>
      </c>
      <c r="E25" s="118">
        <f t="shared" si="7"/>
        <v>0.5422180291468842</v>
      </c>
      <c r="F25" s="118">
        <f t="shared" si="7"/>
        <v>0.6323001243028217</v>
      </c>
      <c r="G25" s="118">
        <f t="shared" si="7"/>
        <v>0.7714744797487136</v>
      </c>
      <c r="H25" s="118">
        <f t="shared" si="7"/>
        <v>0.80866337355646</v>
      </c>
      <c r="I25" s="119">
        <f t="shared" si="7"/>
        <v>0.8019523842178884</v>
      </c>
    </row>
    <row r="26" spans="1:9" ht="13.5" thickBot="1">
      <c r="A26" s="105"/>
      <c r="B26" s="103"/>
      <c r="C26" s="103"/>
      <c r="D26" s="103"/>
      <c r="E26" s="103"/>
      <c r="F26" s="103"/>
      <c r="G26" s="103"/>
      <c r="H26" s="103"/>
      <c r="I26" s="104"/>
    </row>
    <row r="27" spans="1:9" ht="12.75">
      <c r="A27" s="92" t="s">
        <v>114</v>
      </c>
      <c r="B27" s="101"/>
      <c r="C27" s="101">
        <f aca="true" t="shared" si="8" ref="C27:I27">C24*47.5%</f>
        <v>5.119978219696975</v>
      </c>
      <c r="D27" s="101">
        <f t="shared" si="8"/>
        <v>26.507366903409093</v>
      </c>
      <c r="E27" s="101">
        <f t="shared" si="8"/>
        <v>35.77805332149622</v>
      </c>
      <c r="F27" s="101">
        <f t="shared" si="8"/>
        <v>52.5698291028646</v>
      </c>
      <c r="G27" s="101">
        <f t="shared" si="8"/>
        <v>72.9602422941939</v>
      </c>
      <c r="H27" s="101">
        <f t="shared" si="8"/>
        <v>80.30115198723635</v>
      </c>
      <c r="I27" s="102">
        <f t="shared" si="8"/>
        <v>83.61648062383348</v>
      </c>
    </row>
    <row r="28" spans="1:9" ht="12.75">
      <c r="A28" s="114" t="s">
        <v>115</v>
      </c>
      <c r="B28" s="115">
        <f aca="true" t="shared" si="9" ref="B28:I28">B24-B27</f>
        <v>-7.171969696969694</v>
      </c>
      <c r="C28" s="115">
        <f t="shared" si="9"/>
        <v>5.658923295454551</v>
      </c>
      <c r="D28" s="115">
        <f t="shared" si="9"/>
        <v>29.297616051136366</v>
      </c>
      <c r="E28" s="115">
        <f t="shared" si="9"/>
        <v>39.5441641974432</v>
      </c>
      <c r="F28" s="115">
        <f t="shared" si="9"/>
        <v>58.10349532421877</v>
      </c>
      <c r="G28" s="115">
        <f t="shared" si="9"/>
        <v>80.64026779884591</v>
      </c>
      <c r="H28" s="115">
        <f t="shared" si="9"/>
        <v>88.75390482799807</v>
      </c>
      <c r="I28" s="116">
        <f t="shared" si="9"/>
        <v>92.41821542634229</v>
      </c>
    </row>
    <row r="29" spans="1:9" ht="13.5" thickBot="1">
      <c r="A29" s="117" t="s">
        <v>116</v>
      </c>
      <c r="B29" s="118">
        <f aca="true" t="shared" si="10" ref="B29:I29">B28/B5</f>
        <v>-0.1494160353535353</v>
      </c>
      <c r="C29" s="118">
        <f t="shared" si="10"/>
        <v>0.07485348274410782</v>
      </c>
      <c r="D29" s="118">
        <f t="shared" si="10"/>
        <v>0.24605371673080007</v>
      </c>
      <c r="E29" s="118">
        <f t="shared" si="10"/>
        <v>0.2846644653021142</v>
      </c>
      <c r="F29" s="118">
        <f t="shared" si="10"/>
        <v>0.33195756525898135</v>
      </c>
      <c r="G29" s="118">
        <f t="shared" si="10"/>
        <v>0.4050241018680747</v>
      </c>
      <c r="H29" s="118">
        <f t="shared" si="10"/>
        <v>0.4245482711171415</v>
      </c>
      <c r="I29" s="119">
        <f t="shared" si="10"/>
        <v>0.4210250017143914</v>
      </c>
    </row>
    <row r="30" spans="2:9" ht="12.75">
      <c r="B30" s="107"/>
      <c r="C30" s="107"/>
      <c r="D30" s="107"/>
      <c r="E30" s="107"/>
      <c r="F30" s="107"/>
      <c r="G30" s="107"/>
      <c r="H30" s="107"/>
      <c r="I30" s="107"/>
    </row>
    <row r="31" spans="2:9" ht="12.75">
      <c r="B31" s="107"/>
      <c r="C31" s="107"/>
      <c r="D31" s="107"/>
      <c r="E31" s="107"/>
      <c r="F31" s="107"/>
      <c r="G31" s="107"/>
      <c r="H31" s="107"/>
      <c r="I31" s="107"/>
    </row>
    <row r="32" spans="1:9" ht="12.75">
      <c r="A32" s="106" t="s">
        <v>123</v>
      </c>
      <c r="B32" s="107">
        <f>IRR(B33:G33)</f>
        <v>0.42132898693762844</v>
      </c>
      <c r="C32" s="107"/>
      <c r="D32" s="107"/>
      <c r="E32" s="107"/>
      <c r="F32" s="107"/>
      <c r="G32" s="107"/>
      <c r="H32" s="107"/>
      <c r="I32" s="107"/>
    </row>
    <row r="33" spans="1:9" ht="12.75">
      <c r="A33" s="106" t="s">
        <v>119</v>
      </c>
      <c r="B33" s="107">
        <v>-135</v>
      </c>
      <c r="C33" s="107">
        <f>B5-(B23+B27)</f>
        <v>40.0030303030303</v>
      </c>
      <c r="D33" s="107">
        <f>C5-(C23+C27)</f>
        <v>63.482673295454546</v>
      </c>
      <c r="E33" s="107">
        <f>D5-(D23+D27)</f>
        <v>87.16467855113638</v>
      </c>
      <c r="F33" s="107">
        <f>E5-(E23+E27)</f>
        <v>99.3383860724432</v>
      </c>
      <c r="G33" s="107">
        <f>F5-(F23+F27)</f>
        <v>120.26390423046877</v>
      </c>
      <c r="H33" s="107"/>
      <c r="I33" s="107"/>
    </row>
  </sheetData>
  <mergeCells count="1">
    <mergeCell ref="A1:I1"/>
  </mergeCells>
  <printOptions horizontalCentered="1"/>
  <pageMargins left="0.75" right="0.75" top="1" bottom="1" header="0.5" footer="0.5"/>
  <pageSetup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3">
      <selection activeCell="B3" sqref="B3"/>
    </sheetView>
  </sheetViews>
  <sheetFormatPr defaultColWidth="9.140625" defaultRowHeight="12.75"/>
  <cols>
    <col min="1" max="1" width="22.00390625" style="13" bestFit="1" customWidth="1"/>
  </cols>
  <sheetData>
    <row r="1" spans="1:8" ht="12.75">
      <c r="A1" s="254" t="s">
        <v>107</v>
      </c>
      <c r="B1" s="255"/>
      <c r="C1" s="255"/>
      <c r="D1" s="255"/>
      <c r="E1" s="255"/>
      <c r="F1" s="255"/>
      <c r="G1" s="256"/>
      <c r="H1" s="65"/>
    </row>
    <row r="2" spans="1:8" s="12" customFormat="1" ht="12.75">
      <c r="A2" s="71"/>
      <c r="B2" s="56"/>
      <c r="C2" s="56" t="s">
        <v>0</v>
      </c>
      <c r="D2" s="56" t="s">
        <v>1</v>
      </c>
      <c r="E2" s="56" t="s">
        <v>92</v>
      </c>
      <c r="F2" s="56" t="s">
        <v>93</v>
      </c>
      <c r="G2" s="72" t="s">
        <v>145</v>
      </c>
      <c r="H2" s="65"/>
    </row>
    <row r="3" spans="1:8" ht="12.75">
      <c r="A3" s="73"/>
      <c r="B3" s="57"/>
      <c r="C3" s="57"/>
      <c r="D3" s="57"/>
      <c r="E3" s="57"/>
      <c r="F3" s="57"/>
      <c r="G3" s="19"/>
      <c r="H3" s="66"/>
    </row>
    <row r="4" spans="1:8" ht="26.25">
      <c r="A4" s="73" t="s">
        <v>95</v>
      </c>
      <c r="B4" s="57"/>
      <c r="C4" s="57">
        <f>'income cal'!G15</f>
        <v>48</v>
      </c>
      <c r="D4" s="57">
        <f>'income cal'!H15</f>
        <v>75.60000000000001</v>
      </c>
      <c r="E4" s="57">
        <f>'income cal'!I15</f>
        <v>119.07000000000001</v>
      </c>
      <c r="F4" s="57">
        <f>'income cal'!J15</f>
        <v>138.91500000000002</v>
      </c>
      <c r="G4" s="19">
        <f>'income cal'!K15</f>
        <v>175.03290000000004</v>
      </c>
      <c r="H4" s="66"/>
    </row>
    <row r="5" spans="1:8" ht="12.75">
      <c r="A5" s="74" t="s">
        <v>105</v>
      </c>
      <c r="B5" s="57"/>
      <c r="C5" s="58">
        <f>C4</f>
        <v>48</v>
      </c>
      <c r="D5" s="58">
        <f>D4</f>
        <v>75.60000000000001</v>
      </c>
      <c r="E5" s="58">
        <f>E4</f>
        <v>119.07000000000001</v>
      </c>
      <c r="F5" s="58">
        <f>F4</f>
        <v>138.91500000000002</v>
      </c>
      <c r="G5" s="75">
        <f>G4</f>
        <v>175.03290000000004</v>
      </c>
      <c r="H5" s="66"/>
    </row>
    <row r="6" spans="1:8" ht="12.75">
      <c r="A6" s="73"/>
      <c r="B6" s="57"/>
      <c r="C6" s="57"/>
      <c r="D6" s="57"/>
      <c r="E6" s="57"/>
      <c r="F6" s="57"/>
      <c r="G6" s="19"/>
      <c r="H6" s="66"/>
    </row>
    <row r="7" spans="1:8" ht="12.75">
      <c r="A7" s="74" t="s">
        <v>96</v>
      </c>
      <c r="B7" s="57"/>
      <c r="C7" s="57"/>
      <c r="D7" s="57"/>
      <c r="E7" s="57"/>
      <c r="F7" s="57"/>
      <c r="G7" s="19"/>
      <c r="H7" s="66"/>
    </row>
    <row r="8" spans="1:8" ht="12.75">
      <c r="A8" s="73" t="s">
        <v>97</v>
      </c>
      <c r="B8" s="57"/>
      <c r="C8" s="83">
        <v>12.2</v>
      </c>
      <c r="D8" s="31">
        <f>C8</f>
        <v>12.2</v>
      </c>
      <c r="E8" s="31">
        <f>D8</f>
        <v>12.2</v>
      </c>
      <c r="F8" s="31">
        <f>E8</f>
        <v>12.2</v>
      </c>
      <c r="G8" s="34">
        <f>F8</f>
        <v>12.2</v>
      </c>
      <c r="H8" s="66"/>
    </row>
    <row r="9" spans="1:8" ht="26.25">
      <c r="A9" s="73" t="s">
        <v>146</v>
      </c>
      <c r="B9" s="57"/>
      <c r="C9" s="57"/>
      <c r="D9" s="57"/>
      <c r="E9" s="57"/>
      <c r="F9" s="57"/>
      <c r="G9" s="19"/>
      <c r="H9" s="67"/>
    </row>
    <row r="10" spans="1:10" ht="12.75">
      <c r="A10" s="73" t="s">
        <v>97</v>
      </c>
      <c r="B10" s="57"/>
      <c r="C10" s="57"/>
      <c r="D10" s="31">
        <v>6.875</v>
      </c>
      <c r="E10" s="31">
        <f>D10</f>
        <v>6.875</v>
      </c>
      <c r="F10" s="31">
        <f>E10</f>
        <v>6.875</v>
      </c>
      <c r="G10" s="34">
        <f>F10</f>
        <v>6.875</v>
      </c>
      <c r="H10" s="66"/>
      <c r="J10" s="2"/>
    </row>
    <row r="11" spans="1:8" ht="39">
      <c r="A11" s="73" t="s">
        <v>147</v>
      </c>
      <c r="B11" s="57"/>
      <c r="C11" s="57"/>
      <c r="D11" s="57"/>
      <c r="E11" s="57"/>
      <c r="F11" s="57"/>
      <c r="G11" s="19"/>
      <c r="H11" s="66"/>
    </row>
    <row r="12" spans="1:8" ht="26.25">
      <c r="A12" s="73" t="s">
        <v>135</v>
      </c>
      <c r="B12" s="57"/>
      <c r="C12" s="57">
        <v>15.3</v>
      </c>
      <c r="D12" s="57">
        <f aca="true" t="shared" si="0" ref="D12:G13">C12+C12*10%</f>
        <v>16.830000000000002</v>
      </c>
      <c r="E12" s="31">
        <f t="shared" si="0"/>
        <v>18.513</v>
      </c>
      <c r="F12" s="31">
        <f t="shared" si="0"/>
        <v>20.3643</v>
      </c>
      <c r="G12" s="34">
        <f t="shared" si="0"/>
        <v>22.40073</v>
      </c>
      <c r="H12" s="66"/>
    </row>
    <row r="13" spans="1:8" ht="39">
      <c r="A13" s="73" t="s">
        <v>148</v>
      </c>
      <c r="B13" s="57"/>
      <c r="C13" s="57">
        <v>5.5</v>
      </c>
      <c r="D13" s="57">
        <f t="shared" si="0"/>
        <v>6.05</v>
      </c>
      <c r="E13" s="31">
        <f t="shared" si="0"/>
        <v>6.654999999999999</v>
      </c>
      <c r="F13" s="31">
        <f t="shared" si="0"/>
        <v>7.320499999999999</v>
      </c>
      <c r="G13" s="34">
        <f t="shared" si="0"/>
        <v>8.052549999999998</v>
      </c>
      <c r="H13" s="67"/>
    </row>
    <row r="14" spans="1:8" ht="12.75">
      <c r="A14" s="73" t="s">
        <v>101</v>
      </c>
      <c r="B14" s="57"/>
      <c r="C14" s="57"/>
      <c r="D14" s="57">
        <v>0.75</v>
      </c>
      <c r="E14" s="57"/>
      <c r="F14" s="57"/>
      <c r="G14" s="19"/>
      <c r="H14" s="66"/>
    </row>
    <row r="15" spans="1:8" ht="12.75">
      <c r="A15" s="73" t="s">
        <v>102</v>
      </c>
      <c r="B15" s="57"/>
      <c r="C15" s="57"/>
      <c r="D15" s="57">
        <v>0.5</v>
      </c>
      <c r="E15" s="57"/>
      <c r="F15" s="57"/>
      <c r="G15" s="19"/>
      <c r="H15" s="66"/>
    </row>
    <row r="16" spans="1:8" ht="12.75">
      <c r="A16" s="73" t="s">
        <v>150</v>
      </c>
      <c r="B16" s="57"/>
      <c r="C16" s="57"/>
      <c r="D16" s="57">
        <v>1</v>
      </c>
      <c r="E16" s="57">
        <v>1</v>
      </c>
      <c r="F16" s="57">
        <v>1</v>
      </c>
      <c r="G16" s="19">
        <v>1</v>
      </c>
      <c r="H16" s="66"/>
    </row>
    <row r="17" spans="1:8" ht="12.75">
      <c r="A17" s="73" t="s">
        <v>151</v>
      </c>
      <c r="B17" s="57"/>
      <c r="C17" s="57"/>
      <c r="D17" s="57">
        <v>0.25</v>
      </c>
      <c r="E17" s="57">
        <v>0.25</v>
      </c>
      <c r="F17" s="57">
        <v>0.25</v>
      </c>
      <c r="G17" s="19">
        <v>0.25</v>
      </c>
      <c r="H17" s="66"/>
    </row>
    <row r="18" spans="1:8" ht="12.75">
      <c r="A18" s="73"/>
      <c r="B18" s="57"/>
      <c r="C18" s="57"/>
      <c r="D18" s="57"/>
      <c r="E18" s="57"/>
      <c r="F18" s="57"/>
      <c r="G18" s="19"/>
      <c r="H18" s="66"/>
    </row>
    <row r="19" spans="1:8" ht="12.75">
      <c r="A19" s="74" t="s">
        <v>106</v>
      </c>
      <c r="B19" s="58"/>
      <c r="C19" s="58">
        <f>SUM(C7:C18)</f>
        <v>33</v>
      </c>
      <c r="D19" s="58">
        <f>SUM(D7:D18)</f>
        <v>44.455</v>
      </c>
      <c r="E19" s="58">
        <f>SUM(E7:E18)</f>
        <v>45.493</v>
      </c>
      <c r="F19" s="58">
        <f>SUM(F7:F18)</f>
        <v>48.0098</v>
      </c>
      <c r="G19" s="75">
        <f>SUM(G7:G18)</f>
        <v>50.778279999999995</v>
      </c>
      <c r="H19" s="66"/>
    </row>
    <row r="20" spans="1:8" ht="12.75">
      <c r="A20" s="73"/>
      <c r="B20" s="57"/>
      <c r="C20" s="57"/>
      <c r="D20" s="57"/>
      <c r="E20" s="57"/>
      <c r="F20" s="57"/>
      <c r="G20" s="19"/>
      <c r="H20" s="66"/>
    </row>
    <row r="21" spans="1:8" ht="12.75">
      <c r="A21" s="74" t="s">
        <v>108</v>
      </c>
      <c r="B21" s="58"/>
      <c r="C21" s="58">
        <f>C5-C19</f>
        <v>15</v>
      </c>
      <c r="D21" s="58">
        <f>D5-D19</f>
        <v>31.14500000000001</v>
      </c>
      <c r="E21" s="58">
        <f>E5-E19</f>
        <v>73.577</v>
      </c>
      <c r="F21" s="58">
        <f>F5-F19</f>
        <v>90.90520000000002</v>
      </c>
      <c r="G21" s="75">
        <f>G5-G19</f>
        <v>124.25462000000005</v>
      </c>
      <c r="H21" s="66"/>
    </row>
    <row r="22" spans="1:8" ht="32.25" customHeight="1">
      <c r="A22" s="74" t="s">
        <v>109</v>
      </c>
      <c r="B22" s="58"/>
      <c r="C22" s="59">
        <f>C21/C5</f>
        <v>0.3125</v>
      </c>
      <c r="D22" s="59">
        <f>D21/D5</f>
        <v>0.41197089947089954</v>
      </c>
      <c r="E22" s="59">
        <f>E21/E5</f>
        <v>0.6179306290417401</v>
      </c>
      <c r="F22" s="59">
        <f>F21/F5</f>
        <v>0.6543944138501963</v>
      </c>
      <c r="G22" s="76">
        <f>G21/G5</f>
        <v>0.7098929401272561</v>
      </c>
      <c r="H22" s="66"/>
    </row>
    <row r="23" spans="1:8" ht="17.25" customHeight="1">
      <c r="A23" s="73" t="s">
        <v>149</v>
      </c>
      <c r="B23" s="57"/>
      <c r="C23" s="57">
        <f>7.5*25/100</f>
        <v>1.875</v>
      </c>
      <c r="D23" s="57">
        <f>7.5*25/100</f>
        <v>1.875</v>
      </c>
      <c r="E23" s="57">
        <f>D23</f>
        <v>1.875</v>
      </c>
      <c r="F23" s="57">
        <f>E23</f>
        <v>1.875</v>
      </c>
      <c r="G23" s="19"/>
      <c r="H23" s="66"/>
    </row>
    <row r="24" spans="1:8" ht="25.5" customHeight="1">
      <c r="A24" s="73" t="s">
        <v>125</v>
      </c>
      <c r="B24" s="57"/>
      <c r="C24" s="57">
        <f>interest!B56</f>
        <v>3.75</v>
      </c>
      <c r="D24" s="57">
        <f>interest!C56</f>
        <v>3.375</v>
      </c>
      <c r="E24" s="57">
        <f>interest!D56</f>
        <v>3.0375</v>
      </c>
      <c r="F24" s="57">
        <f>interest!E56</f>
        <v>2.73375</v>
      </c>
      <c r="G24" s="19">
        <f>interest!F56</f>
        <v>2.460375</v>
      </c>
      <c r="H24" s="68"/>
    </row>
    <row r="25" spans="1:8" ht="12.75">
      <c r="A25" s="74" t="s">
        <v>110</v>
      </c>
      <c r="B25" s="58"/>
      <c r="C25" s="58">
        <f>C21-(C23+C24)</f>
        <v>9.375</v>
      </c>
      <c r="D25" s="58">
        <f>D21-(D23+D24)</f>
        <v>25.89500000000001</v>
      </c>
      <c r="E25" s="58">
        <f>E21-(E23+E24)</f>
        <v>68.6645</v>
      </c>
      <c r="F25" s="58">
        <f>F21-(F23+F24)</f>
        <v>86.29645000000002</v>
      </c>
      <c r="G25" s="75">
        <f>G21-(G23+G24)</f>
        <v>121.79424500000005</v>
      </c>
      <c r="H25" s="66"/>
    </row>
    <row r="26" spans="1:8" s="2" customFormat="1" ht="12.75">
      <c r="A26" s="73" t="s">
        <v>111</v>
      </c>
      <c r="B26" s="57"/>
      <c r="C26" s="57">
        <v>0</v>
      </c>
      <c r="D26" s="57">
        <v>0</v>
      </c>
      <c r="E26" s="57">
        <v>0</v>
      </c>
      <c r="F26" s="57">
        <v>0</v>
      </c>
      <c r="G26" s="19">
        <v>0</v>
      </c>
      <c r="H26" s="66"/>
    </row>
    <row r="27" spans="1:8" ht="12.75">
      <c r="A27" s="74" t="s">
        <v>112</v>
      </c>
      <c r="B27" s="58"/>
      <c r="C27" s="58">
        <f>C25-C26</f>
        <v>9.375</v>
      </c>
      <c r="D27" s="58">
        <f>D25-D26</f>
        <v>25.89500000000001</v>
      </c>
      <c r="E27" s="58">
        <f>E25-E26</f>
        <v>68.6645</v>
      </c>
      <c r="F27" s="58">
        <f>F25-F26</f>
        <v>86.29645000000002</v>
      </c>
      <c r="G27" s="75">
        <f>G25-G26</f>
        <v>121.79424500000005</v>
      </c>
      <c r="H27" s="68"/>
    </row>
    <row r="28" spans="1:8" ht="12.75">
      <c r="A28" s="74" t="s">
        <v>113</v>
      </c>
      <c r="B28" s="58"/>
      <c r="C28" s="59">
        <f>C27/C5</f>
        <v>0.1953125</v>
      </c>
      <c r="D28" s="59">
        <f>D27/D5</f>
        <v>0.3425264550264551</v>
      </c>
      <c r="E28" s="59">
        <f>E27/E5</f>
        <v>0.5766733854035442</v>
      </c>
      <c r="F28" s="59">
        <f>F27/F5</f>
        <v>0.6212176510815968</v>
      </c>
      <c r="G28" s="76">
        <f>G27/G5</f>
        <v>0.6958362970618668</v>
      </c>
      <c r="H28" s="66"/>
    </row>
    <row r="29" spans="1:8" s="2" customFormat="1" ht="12.75">
      <c r="A29" s="73" t="s">
        <v>114</v>
      </c>
      <c r="B29" s="57"/>
      <c r="C29" s="57"/>
      <c r="D29" s="57">
        <f>D27*47.5%</f>
        <v>12.300125000000005</v>
      </c>
      <c r="E29" s="57">
        <f>E27*47.5%</f>
        <v>32.6156375</v>
      </c>
      <c r="F29" s="57">
        <f>F27*47.5%</f>
        <v>40.99081375000001</v>
      </c>
      <c r="G29" s="19">
        <f>G27*47.5%</f>
        <v>57.85226637500002</v>
      </c>
      <c r="H29" s="66"/>
    </row>
    <row r="30" spans="1:8" ht="12.75">
      <c r="A30" s="74" t="s">
        <v>115</v>
      </c>
      <c r="B30" s="58"/>
      <c r="C30" s="58">
        <f>C27-C29</f>
        <v>9.375</v>
      </c>
      <c r="D30" s="58">
        <f>D27-D29</f>
        <v>13.594875000000005</v>
      </c>
      <c r="E30" s="58">
        <f>E27-E29</f>
        <v>36.048862500000006</v>
      </c>
      <c r="F30" s="58">
        <f>F27-F29</f>
        <v>45.30563625000001</v>
      </c>
      <c r="G30" s="75">
        <f>G27-G29</f>
        <v>63.941978625000026</v>
      </c>
      <c r="H30" s="68"/>
    </row>
    <row r="31" spans="1:8" ht="12.75">
      <c r="A31" s="74" t="s">
        <v>116</v>
      </c>
      <c r="B31" s="58"/>
      <c r="C31" s="59">
        <f>C30/C5</f>
        <v>0.1953125</v>
      </c>
      <c r="D31" s="59">
        <f>D30/D5</f>
        <v>0.17982638888888894</v>
      </c>
      <c r="E31" s="59">
        <f>E30/E5</f>
        <v>0.3027535273368607</v>
      </c>
      <c r="F31" s="59">
        <f>F30/F5</f>
        <v>0.3261392668178383</v>
      </c>
      <c r="G31" s="76">
        <f>G30/G5</f>
        <v>0.36531405595748007</v>
      </c>
      <c r="H31" s="66"/>
    </row>
    <row r="32" spans="1:8" s="2" customFormat="1" ht="12.75">
      <c r="A32" s="73"/>
      <c r="B32" s="57"/>
      <c r="C32" s="57"/>
      <c r="D32" s="57"/>
      <c r="E32" s="57"/>
      <c r="F32" s="57"/>
      <c r="G32" s="19"/>
      <c r="H32" s="68"/>
    </row>
    <row r="33" spans="1:8" s="2" customFormat="1" ht="13.5" thickBot="1">
      <c r="A33" s="77" t="s">
        <v>123</v>
      </c>
      <c r="B33" s="78">
        <f>IRR(B34:G34,0.15)</f>
        <v>0.43809320015323816</v>
      </c>
      <c r="C33" s="79"/>
      <c r="D33" s="79"/>
      <c r="E33" s="79"/>
      <c r="F33" s="79"/>
      <c r="G33" s="80"/>
      <c r="H33" s="66"/>
    </row>
    <row r="34" spans="1:8" s="2" customFormat="1" ht="12.75">
      <c r="A34" s="69" t="s">
        <v>119</v>
      </c>
      <c r="B34" s="70">
        <v>-135</v>
      </c>
      <c r="C34" s="70">
        <f>C5-C29</f>
        <v>48</v>
      </c>
      <c r="D34" s="70">
        <f>D5-D29</f>
        <v>63.299875</v>
      </c>
      <c r="E34" s="70">
        <f>E5-E29</f>
        <v>86.4543625</v>
      </c>
      <c r="F34" s="70">
        <f>F5-F29</f>
        <v>97.92418625000002</v>
      </c>
      <c r="G34" s="70">
        <f>G5-G29</f>
        <v>117.18063362500001</v>
      </c>
      <c r="H34" s="58"/>
    </row>
    <row r="35" ht="12.75">
      <c r="H35" s="2"/>
    </row>
    <row r="36" spans="1:8" s="2" customFormat="1" ht="12.75">
      <c r="A36" s="13"/>
      <c r="B36"/>
      <c r="C36"/>
      <c r="D36"/>
      <c r="E36"/>
      <c r="F36"/>
      <c r="G36"/>
      <c r="H36"/>
    </row>
    <row r="37" spans="1:8" s="2" customFormat="1" ht="12.75">
      <c r="A37" s="13"/>
      <c r="B37"/>
      <c r="C37"/>
      <c r="D37"/>
      <c r="E37"/>
      <c r="F37"/>
      <c r="G37"/>
      <c r="H37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59">
      <selection activeCell="C63" sqref="C63"/>
    </sheetView>
  </sheetViews>
  <sheetFormatPr defaultColWidth="9.140625" defaultRowHeight="12.75"/>
  <sheetData>
    <row r="1" spans="1:7" ht="12.75">
      <c r="A1" s="257" t="s">
        <v>144</v>
      </c>
      <c r="B1" s="257"/>
      <c r="C1" s="257"/>
      <c r="E1" s="257" t="s">
        <v>143</v>
      </c>
      <c r="F1" s="257"/>
      <c r="G1" s="257"/>
    </row>
    <row r="2" ht="12.75">
      <c r="A2" s="2" t="s">
        <v>37</v>
      </c>
    </row>
    <row r="4" spans="1:7" ht="12.75">
      <c r="A4" t="s">
        <v>38</v>
      </c>
      <c r="C4" s="3">
        <v>10</v>
      </c>
      <c r="E4" t="s">
        <v>39</v>
      </c>
      <c r="G4" s="3">
        <v>0.75</v>
      </c>
    </row>
    <row r="5" spans="1:7" ht="12.75">
      <c r="A5" t="s">
        <v>40</v>
      </c>
      <c r="C5" s="3"/>
      <c r="G5" s="3"/>
    </row>
    <row r="6" spans="1:7" ht="12.75">
      <c r="A6" t="s">
        <v>41</v>
      </c>
      <c r="C6" s="3">
        <v>1</v>
      </c>
      <c r="E6" t="s">
        <v>42</v>
      </c>
      <c r="G6" s="3"/>
    </row>
    <row r="7" spans="1:7" ht="12.75">
      <c r="A7" t="s">
        <v>43</v>
      </c>
      <c r="C7" s="3"/>
      <c r="E7" t="s">
        <v>44</v>
      </c>
      <c r="G7" s="3">
        <v>0.5</v>
      </c>
    </row>
    <row r="8" spans="1:7" ht="12.75">
      <c r="A8" t="s">
        <v>45</v>
      </c>
      <c r="C8" s="3"/>
      <c r="G8" s="3"/>
    </row>
    <row r="9" spans="1:7" ht="12.75">
      <c r="A9" t="s">
        <v>46</v>
      </c>
      <c r="C9" s="3"/>
      <c r="E9" t="s">
        <v>47</v>
      </c>
      <c r="G9" s="3"/>
    </row>
    <row r="10" spans="1:7" ht="12.75">
      <c r="A10" t="s">
        <v>48</v>
      </c>
      <c r="C10" s="3">
        <v>20</v>
      </c>
      <c r="E10" t="s">
        <v>49</v>
      </c>
      <c r="G10" s="3">
        <v>1</v>
      </c>
    </row>
    <row r="11" spans="1:7" ht="12.75">
      <c r="A11" t="s">
        <v>50</v>
      </c>
      <c r="C11" s="3"/>
      <c r="G11" s="3"/>
    </row>
    <row r="12" spans="1:7" ht="12.75">
      <c r="A12" t="s">
        <v>51</v>
      </c>
      <c r="C12" s="3"/>
      <c r="E12" t="s">
        <v>52</v>
      </c>
      <c r="G12" s="3"/>
    </row>
    <row r="13" spans="1:7" ht="12.75">
      <c r="A13" t="s">
        <v>53</v>
      </c>
      <c r="C13" s="3">
        <v>10</v>
      </c>
      <c r="E13" t="s">
        <v>54</v>
      </c>
      <c r="G13" s="3">
        <v>0.25</v>
      </c>
    </row>
    <row r="14" spans="1:7" ht="12.75">
      <c r="A14" t="s">
        <v>55</v>
      </c>
      <c r="C14" s="3"/>
      <c r="G14" s="3"/>
    </row>
    <row r="15" spans="1:7" ht="12.75">
      <c r="A15" t="s">
        <v>56</v>
      </c>
      <c r="C15" s="3">
        <v>1.5</v>
      </c>
      <c r="E15" t="s">
        <v>57</v>
      </c>
      <c r="G15" s="3">
        <v>8.5</v>
      </c>
    </row>
    <row r="16" spans="1:7" ht="12.75">
      <c r="A16" s="2" t="s">
        <v>58</v>
      </c>
      <c r="C16" s="15">
        <f>SUM(C4:C15)</f>
        <v>42.5</v>
      </c>
      <c r="D16" s="15">
        <f>C16</f>
        <v>42.5</v>
      </c>
      <c r="G16" s="3"/>
    </row>
    <row r="17" spans="1:7" ht="12.75">
      <c r="A17" s="2" t="s">
        <v>59</v>
      </c>
      <c r="B17" s="2"/>
      <c r="C17" s="3"/>
      <c r="E17" t="s">
        <v>60</v>
      </c>
      <c r="G17" s="3">
        <v>8.25</v>
      </c>
    </row>
    <row r="18" spans="1:7" ht="12.75">
      <c r="A18" s="2" t="s">
        <v>61</v>
      </c>
      <c r="B18" s="2"/>
      <c r="C18" s="3"/>
      <c r="G18" s="3"/>
    </row>
    <row r="19" spans="3:9" ht="12.75">
      <c r="C19" s="3"/>
      <c r="E19" t="s">
        <v>62</v>
      </c>
      <c r="G19" s="3">
        <v>2</v>
      </c>
      <c r="I19" s="3"/>
    </row>
    <row r="20" spans="1:7" ht="12.75">
      <c r="A20" t="s">
        <v>63</v>
      </c>
      <c r="B20" s="3"/>
      <c r="C20" s="3">
        <v>2</v>
      </c>
      <c r="G20" s="3"/>
    </row>
    <row r="21" spans="1:7" ht="12.75">
      <c r="A21" t="s">
        <v>64</v>
      </c>
      <c r="B21" s="3"/>
      <c r="C21" s="3"/>
      <c r="E21" t="s">
        <v>65</v>
      </c>
      <c r="G21" s="3"/>
    </row>
    <row r="22" spans="1:7" ht="12.75">
      <c r="A22" t="s">
        <v>66</v>
      </c>
      <c r="B22" s="3"/>
      <c r="C22" s="3"/>
      <c r="E22" t="s">
        <v>67</v>
      </c>
      <c r="G22" s="3"/>
    </row>
    <row r="23" spans="1:7" ht="12.75">
      <c r="A23" t="s">
        <v>68</v>
      </c>
      <c r="B23" s="3"/>
      <c r="C23" s="3">
        <v>1.5</v>
      </c>
      <c r="E23" t="s">
        <v>69</v>
      </c>
      <c r="G23" s="3">
        <v>10</v>
      </c>
    </row>
    <row r="24" spans="1:7" ht="12.75">
      <c r="A24" t="s">
        <v>70</v>
      </c>
      <c r="B24" s="3"/>
      <c r="C24" s="3"/>
      <c r="G24" s="3"/>
    </row>
    <row r="25" spans="1:7" ht="12.75">
      <c r="A25" t="s">
        <v>71</v>
      </c>
      <c r="B25" s="3"/>
      <c r="C25" s="3">
        <v>3</v>
      </c>
      <c r="E25" t="s">
        <v>65</v>
      </c>
      <c r="G25" s="3"/>
    </row>
    <row r="26" spans="1:7" ht="12.75">
      <c r="A26" t="s">
        <v>72</v>
      </c>
      <c r="B26" s="3"/>
      <c r="C26" s="3">
        <f>3000*5*15/100000</f>
        <v>2.25</v>
      </c>
      <c r="E26" t="s">
        <v>73</v>
      </c>
      <c r="G26" s="3">
        <v>17.5</v>
      </c>
    </row>
    <row r="27" spans="1:7" ht="12.75">
      <c r="A27" t="s">
        <v>74</v>
      </c>
      <c r="B27" s="3"/>
      <c r="C27" s="3"/>
      <c r="G27" s="3"/>
    </row>
    <row r="28" spans="1:7" ht="12.75">
      <c r="A28" t="s">
        <v>75</v>
      </c>
      <c r="B28" s="3"/>
      <c r="C28" s="3">
        <v>3</v>
      </c>
      <c r="G28" s="3"/>
    </row>
    <row r="29" spans="1:7" ht="12.75">
      <c r="A29" t="s">
        <v>76</v>
      </c>
      <c r="B29" s="3"/>
      <c r="C29" s="3"/>
      <c r="G29" s="3"/>
    </row>
    <row r="30" spans="1:7" ht="12.75">
      <c r="A30" t="s">
        <v>77</v>
      </c>
      <c r="B30" s="3"/>
      <c r="C30" s="3">
        <v>5</v>
      </c>
      <c r="G30" s="3"/>
    </row>
    <row r="31" spans="1:7" ht="12.75">
      <c r="A31" t="s">
        <v>78</v>
      </c>
      <c r="B31" s="3"/>
      <c r="C31" s="3">
        <v>1.75</v>
      </c>
      <c r="G31" s="3"/>
    </row>
    <row r="32" spans="1:7" ht="12.75">
      <c r="A32" s="2" t="s">
        <v>79</v>
      </c>
      <c r="B32" s="3"/>
      <c r="C32" s="15">
        <f>SUM(C20:C31)</f>
        <v>18.5</v>
      </c>
      <c r="D32" s="15">
        <f>C32</f>
        <v>18.5</v>
      </c>
      <c r="G32" s="3">
        <f>SUM(G3:G31)</f>
        <v>48.75</v>
      </c>
    </row>
    <row r="33" ht="12.75">
      <c r="G33" s="3"/>
    </row>
    <row r="34" spans="1:7" ht="12.75">
      <c r="A34" t="s">
        <v>80</v>
      </c>
      <c r="G34" s="3"/>
    </row>
    <row r="35" spans="1:7" ht="12.75">
      <c r="A35" t="s">
        <v>81</v>
      </c>
      <c r="B35" s="3"/>
      <c r="C35" s="3"/>
      <c r="G35" s="3"/>
    </row>
    <row r="36" spans="1:7" ht="12.75">
      <c r="A36" t="s">
        <v>82</v>
      </c>
      <c r="C36" s="3">
        <v>15.3</v>
      </c>
      <c r="D36" s="3">
        <f>C36</f>
        <v>15.3</v>
      </c>
      <c r="G36" s="3"/>
    </row>
    <row r="37" spans="3:7" ht="12.75">
      <c r="C37" s="3"/>
      <c r="G37" s="3"/>
    </row>
    <row r="38" spans="1:7" ht="12.75">
      <c r="A38" t="s">
        <v>83</v>
      </c>
      <c r="B38" s="3"/>
      <c r="C38" s="3"/>
      <c r="G38" s="3"/>
    </row>
    <row r="39" spans="1:7" ht="12.75">
      <c r="A39" t="s">
        <v>84</v>
      </c>
      <c r="B39" s="3"/>
      <c r="C39" s="3"/>
      <c r="G39" s="3"/>
    </row>
    <row r="40" spans="1:7" ht="12.75">
      <c r="A40" t="s">
        <v>85</v>
      </c>
      <c r="B40" s="3"/>
      <c r="C40" s="3">
        <v>7.5</v>
      </c>
      <c r="D40" s="3">
        <f>C40</f>
        <v>7.5</v>
      </c>
      <c r="G40" s="3"/>
    </row>
    <row r="41" spans="2:7" ht="12.75">
      <c r="B41" s="3"/>
      <c r="C41" s="3"/>
      <c r="G41" s="3"/>
    </row>
    <row r="42" spans="1:7" ht="12.75">
      <c r="A42" t="s">
        <v>86</v>
      </c>
      <c r="B42" s="3"/>
      <c r="C42" s="3">
        <v>5.5</v>
      </c>
      <c r="D42" s="3">
        <f>C42</f>
        <v>5.5</v>
      </c>
      <c r="G42" s="3"/>
    </row>
    <row r="43" spans="2:7" ht="12.75">
      <c r="B43" s="3"/>
      <c r="C43" s="3"/>
      <c r="G43" s="3"/>
    </row>
    <row r="44" spans="1:7" ht="12.75">
      <c r="A44" t="s">
        <v>87</v>
      </c>
      <c r="B44" s="3"/>
      <c r="C44" s="3"/>
      <c r="G44" s="3"/>
    </row>
    <row r="45" spans="1:7" ht="12.75">
      <c r="A45" t="s">
        <v>88</v>
      </c>
      <c r="B45" s="3"/>
      <c r="C45" s="3">
        <f>C16+C32+C36+C40+C42</f>
        <v>89.3</v>
      </c>
      <c r="D45" s="3"/>
      <c r="G45" s="3"/>
    </row>
    <row r="46" spans="2:7" ht="12.75">
      <c r="B46" s="3"/>
      <c r="C46" s="3"/>
      <c r="G46" s="3"/>
    </row>
    <row r="47" spans="1:7" ht="12.75">
      <c r="A47" t="s">
        <v>89</v>
      </c>
      <c r="B47" s="3"/>
      <c r="C47" s="3"/>
      <c r="G47" s="3"/>
    </row>
    <row r="48" spans="1:7" ht="12.75">
      <c r="A48" t="s">
        <v>90</v>
      </c>
      <c r="B48" s="3"/>
      <c r="C48" s="3">
        <f>C45*0.1</f>
        <v>8.93</v>
      </c>
      <c r="D48" s="3">
        <f>C48</f>
        <v>8.93</v>
      </c>
      <c r="G48" s="3"/>
    </row>
    <row r="49" spans="2:7" ht="12.75">
      <c r="B49" s="3"/>
      <c r="C49" s="3"/>
      <c r="G49" s="3"/>
    </row>
    <row r="50" spans="3:7" ht="12.75">
      <c r="C50" s="3"/>
      <c r="D50" s="3"/>
      <c r="G50" s="3"/>
    </row>
    <row r="51" spans="1:7" ht="12.75">
      <c r="A51" s="257" t="s">
        <v>91</v>
      </c>
      <c r="B51" s="257"/>
      <c r="C51" s="257"/>
      <c r="D51" s="15">
        <v>98.23</v>
      </c>
      <c r="G51" s="3"/>
    </row>
    <row r="52" spans="1:7" ht="12.75">
      <c r="A52" t="s">
        <v>138</v>
      </c>
      <c r="B52" s="3"/>
      <c r="C52" s="3">
        <v>20</v>
      </c>
      <c r="G52" s="3"/>
    </row>
    <row r="53" spans="1:3" ht="12.75">
      <c r="A53" t="s">
        <v>139</v>
      </c>
      <c r="C53">
        <v>10</v>
      </c>
    </row>
    <row r="54" spans="1:3" ht="12.75">
      <c r="A54" t="s">
        <v>140</v>
      </c>
      <c r="C54">
        <v>5</v>
      </c>
    </row>
    <row r="55" spans="1:4" ht="12.75">
      <c r="A55" t="s">
        <v>141</v>
      </c>
      <c r="C55">
        <v>2.5</v>
      </c>
      <c r="D55">
        <v>37.5</v>
      </c>
    </row>
    <row r="56" ht="12.75">
      <c r="D56" s="3">
        <f>D51+D55</f>
        <v>135.73000000000002</v>
      </c>
    </row>
    <row r="57" ht="12.75">
      <c r="A57" t="s">
        <v>142</v>
      </c>
    </row>
    <row r="61" spans="1:9" ht="12.75">
      <c r="A61" t="s">
        <v>163</v>
      </c>
      <c r="B61" s="11" t="s">
        <v>0</v>
      </c>
      <c r="C61" s="11" t="s">
        <v>1</v>
      </c>
      <c r="D61" s="11" t="s">
        <v>92</v>
      </c>
      <c r="E61" s="11" t="s">
        <v>93</v>
      </c>
      <c r="F61" s="11" t="s">
        <v>145</v>
      </c>
      <c r="G61" s="11" t="s">
        <v>185</v>
      </c>
      <c r="H61" s="11" t="s">
        <v>186</v>
      </c>
      <c r="I61" s="11" t="s">
        <v>187</v>
      </c>
    </row>
    <row r="62" spans="1:9" ht="12.75">
      <c r="A62" t="s">
        <v>219</v>
      </c>
      <c r="B62">
        <v>100</v>
      </c>
      <c r="C62">
        <f>+B65</f>
        <v>80</v>
      </c>
      <c r="D62">
        <f aca="true" t="shared" si="0" ref="D62:I62">+C65</f>
        <v>92</v>
      </c>
      <c r="E62">
        <f t="shared" si="0"/>
        <v>64</v>
      </c>
      <c r="F62">
        <f t="shared" si="0"/>
        <v>36</v>
      </c>
      <c r="G62">
        <f t="shared" si="0"/>
        <v>8</v>
      </c>
      <c r="H62">
        <f t="shared" si="0"/>
        <v>0</v>
      </c>
      <c r="I62">
        <f t="shared" si="0"/>
        <v>0</v>
      </c>
    </row>
    <row r="63" spans="1:3" ht="12.75">
      <c r="A63" t="s">
        <v>220</v>
      </c>
      <c r="C63">
        <v>40</v>
      </c>
    </row>
    <row r="64" spans="1:9" ht="12.75">
      <c r="A64" t="s">
        <v>221</v>
      </c>
      <c r="B64">
        <f>$B$62/5</f>
        <v>20</v>
      </c>
      <c r="C64">
        <f>$B$62/5+$C$63/5</f>
        <v>28</v>
      </c>
      <c r="D64">
        <f>$B$62/5+$C$63/5</f>
        <v>28</v>
      </c>
      <c r="E64">
        <f>$B$62/5+$C$63/5</f>
        <v>28</v>
      </c>
      <c r="F64">
        <f>$B$62/5+$C$63/5</f>
        <v>28</v>
      </c>
      <c r="G64">
        <f>$C$63/5+$G$63/5</f>
        <v>8</v>
      </c>
      <c r="H64">
        <f>+$G$63/5</f>
        <v>0</v>
      </c>
      <c r="I64">
        <f>+$G$63/5</f>
        <v>0</v>
      </c>
    </row>
    <row r="65" spans="1:9" ht="12.75">
      <c r="A65" t="s">
        <v>202</v>
      </c>
      <c r="B65">
        <f aca="true" t="shared" si="1" ref="B65:I65">B62+B63-B64</f>
        <v>80</v>
      </c>
      <c r="C65">
        <f t="shared" si="1"/>
        <v>92</v>
      </c>
      <c r="D65">
        <f t="shared" si="1"/>
        <v>64</v>
      </c>
      <c r="E65">
        <f t="shared" si="1"/>
        <v>36</v>
      </c>
      <c r="F65">
        <f t="shared" si="1"/>
        <v>8</v>
      </c>
      <c r="G65">
        <f t="shared" si="1"/>
        <v>0</v>
      </c>
      <c r="H65">
        <f t="shared" si="1"/>
        <v>0</v>
      </c>
      <c r="I65">
        <f t="shared" si="1"/>
        <v>0</v>
      </c>
    </row>
  </sheetData>
  <mergeCells count="3">
    <mergeCell ref="E1:G1"/>
    <mergeCell ref="A1:C1"/>
    <mergeCell ref="A51:C5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INDERJIT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Mrs. Vaishnav</dc:creator>
  <cp:keywords/>
  <dc:description/>
  <cp:lastModifiedBy>Prof. balabhaskaran</cp:lastModifiedBy>
  <cp:lastPrinted>2001-04-16T07:05:34Z</cp:lastPrinted>
  <dcterms:created xsi:type="dcterms:W3CDTF">2001-01-12T03:06:31Z</dcterms:created>
  <dcterms:modified xsi:type="dcterms:W3CDTF">2001-10-22T07:01:47Z</dcterms:modified>
  <cp:category/>
  <cp:version/>
  <cp:contentType/>
  <cp:contentStatus/>
</cp:coreProperties>
</file>