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31" yWindow="65371" windowWidth="11970" windowHeight="7125" tabRatio="851" activeTab="5"/>
  </bookViews>
  <sheets>
    <sheet name="Chaves 1a.Fase" sheetId="1" r:id="rId1"/>
    <sheet name="Carnet 1a.Fase" sheetId="2" r:id="rId2"/>
    <sheet name="Chaves 2a.Fase" sheetId="3" r:id="rId3"/>
    <sheet name="Carnet 2a.Fase" sheetId="4" r:id="rId4"/>
    <sheet name="Chaves 3a.Fase" sheetId="5" r:id="rId5"/>
    <sheet name="Carnet 3a.Fase" sheetId="6" r:id="rId6"/>
    <sheet name="Sumulão 1a.Fase" sheetId="7" state="hidden" r:id="rId7"/>
    <sheet name="Sumulão 2a.Fase" sheetId="8" state="hidden" r:id="rId8"/>
    <sheet name="Sumulão 3a.Fase" sheetId="9" state="hidden" r:id="rId9"/>
    <sheet name="Group Points" sheetId="10" state="hidden" r:id="rId10"/>
  </sheets>
  <definedNames>
    <definedName name="ABP_ADV">'Carnet 3a.Fase'!$D$9,'Carnet 3a.Fase'!$E$19,'Carnet 3a.Fase'!$D$28</definedName>
    <definedName name="ABP_JOGOS">'Carnet 3a.Fase'!$E$9,'Carnet 3a.Fase'!$D$19,'Carnet 3a.Fase'!$E$28</definedName>
    <definedName name="ACADEMIA_ADV">'Carnet 3a.Fase'!$D$12,'Carnet 3a.Fase'!$E$20,'Carnet 3a.Fase'!$E$30</definedName>
    <definedName name="ACADEMIA_JOGOS">'Carnet 3a.Fase'!$E$12,'Carnet 3a.Fase'!$D$20,'Carnet 3a.Fase'!$D$30</definedName>
    <definedName name="ACRE_ADV">'Carnet 1a.Fase'!$E$19,'Carnet 1a.Fase'!$D$53,'Carnet 1a.Fase'!$E$87</definedName>
    <definedName name="ACRE_JOGOS">'Carnet 1a.Fase'!$D$19,'Carnet 1a.Fase'!$E$53,'Carnet 1a.Fase'!$D$87</definedName>
    <definedName name="AFRICA_ADV">'Carnet 2a.Fase'!$D$21,'Carnet 2a.Fase'!$E$39,'Carnet 2a.Fase'!$D$56</definedName>
    <definedName name="AFRICA_JOGOS">'Carnet 2a.Fase'!$E$21,'Carnet 2a.Fase'!$D$39,'Carnet 2a.Fase'!$E$56</definedName>
    <definedName name="AFUMEPA_ADV">'Carnet 3a.Fase'!$E$7,'Carnet 3a.Fase'!$D$16,'Carnet 3a.Fase'!$E$25</definedName>
    <definedName name="AFUMEPA_JOGOS">'Carnet 3a.Fase'!$D$7,'Carnet 3a.Fase'!$E$16,'Carnet 3a.Fase'!$D$25</definedName>
    <definedName name="AFUMERG_ADV">'Carnet 3a.Fase'!$E$10,'Carnet 3a.Fase'!$D$19,'Carnet 3a.Fase'!$D$27</definedName>
    <definedName name="AFUMERG_JOGOS">'Carnet 3a.Fase'!$D$10,'Carnet 3a.Fase'!$E$19,'Carnet 3a.Fase'!$E$27</definedName>
    <definedName name="ALAGOAS_ADV">'Carnet 1a.Fase'!$D$17,'Carnet 1a.Fase'!$E$52,'Carnet 1a.Fase'!$D$86</definedName>
    <definedName name="ALAGOAS_JOGOS">'Carnet 1a.Fase'!$E$17,'Carnet 1a.Fase'!$D$52,'Carnet 1a.Fase'!$E$86</definedName>
    <definedName name="ALEGRETE_ADV">'Carnet 1a.Fase'!$E$11,'Carnet 1a.Fase'!$D$45,'Carnet 1a.Fase'!$E$79</definedName>
    <definedName name="ALEGRETE_JOGOS">'Carnet 1a.Fase'!$D$11,'Carnet 1a.Fase'!$E$45,'Carnet 1a.Fase'!$D$79</definedName>
    <definedName name="ALEMANHA_ADV">'Carnet 2a.Fase'!$E$15,'Carnet 2a.Fase'!$D$32,'Carnet 2a.Fase'!$E$49</definedName>
    <definedName name="ALEMANHA_JOGOS">'Carnet 2a.Fase'!$D$15,'Carnet 2a.Fase'!$E$32,'Carnet 2a.Fase'!$D$49</definedName>
    <definedName name="AMAZONAS_ADV">'Carnet 1a.Fase'!$D$18,'Carnet 1a.Fase'!$E$51,'Carnet 1a.Fase'!$E$86</definedName>
    <definedName name="AMAZONAS_JOGOS">'Carnet 1a.Fase'!$E$18,'Carnet 1a.Fase'!$D$51,'Carnet 1a.Fase'!$D$86</definedName>
    <definedName name="AMERICA_ADV">'Carnet 1a.Fase'!$D$35,'Carnet 1a.Fase'!$E$68,'Carnet 1a.Fase'!$E$103</definedName>
    <definedName name="AMERICA_JOGOS">'Carnet 1a.Fase'!$E$35,'Carnet 1a.Fase'!$D$68,'Carnet 1a.Fase'!$D$103</definedName>
    <definedName name="APFM_ADV">'Carnet 3a.Fase'!$E$12,'Carnet 3a.Fase'!$D$21,'Carnet 3a.Fase'!$D$29</definedName>
    <definedName name="APFM_JOGOS">'Carnet 3a.Fase'!$D$12,'Carnet 3a.Fase'!$E$21,'Carnet 3a.Fase'!$E$29</definedName>
    <definedName name="_xlnm.Print_Area" localSheetId="1">'Carnet 1a.Fase'!$A$1:$T$113</definedName>
    <definedName name="_xlnm.Print_Area" localSheetId="3">'Carnet 2a.Fase'!$A$1:$T$59</definedName>
    <definedName name="_xlnm.Print_Area" localSheetId="5">'Carnet 3a.Fase'!$A$1:$T$33</definedName>
    <definedName name="_xlnm.Print_Area" localSheetId="0">'Chaves 1a.Fase'!$A$1:$D$23</definedName>
    <definedName name="_xlnm.Print_Area" localSheetId="2">'Chaves 2a.Fase'!$A$1:$D$11</definedName>
    <definedName name="_xlnm.Print_Area" localSheetId="4">'Chaves 3a.Fase'!$A$1:$D$5</definedName>
    <definedName name="_xlnm.Print_Area" localSheetId="6">'Sumulão 1a.Fase'!$A$1:$K$358</definedName>
    <definedName name="_xlnm.Print_Area" localSheetId="7">'Sumulão 2a.Fase'!$A$1:$K$178</definedName>
    <definedName name="_xlnm.Print_Area" localSheetId="8">'Sumulão 3a.Fase'!$A$1:$K$119</definedName>
    <definedName name="ARFM_ADV">'Carnet 3a.Fase'!$E$9,'Carnet 3a.Fase'!$D$18,'Carnet 3a.Fase'!$E$27</definedName>
    <definedName name="ARFM_JOGOS">'Carnet 3a.Fase'!$D$9,'Carnet 3a.Fase'!$E$18,'Carnet 3a.Fase'!$D$27</definedName>
    <definedName name="ARGENTINA_ADV">'Carnet 2a.Fase'!$E$7,'Carnet 2a.Fase'!$D$24,'Carnet 2a.Fase'!$E$41</definedName>
    <definedName name="ARGENTINA_JOGOS">'Carnet 2a.Fase'!$D$7,'Carnet 2a.Fase'!$E$24,'Carnet 2a.Fase'!$D$41</definedName>
    <definedName name="ASURVIC_ADV">'Carnet 3a.Fase'!$D$8,'Carnet 3a.Fase'!$E$16,'Carnet 3a.Fase'!$E$26</definedName>
    <definedName name="ASURVIC_JOGOS">'Carnet 3a.Fase'!$E$8,'Carnet 3a.Fase'!$D$16,'Carnet 3a.Fase'!$D$26</definedName>
    <definedName name="ASVFM_ADV">'Carnet 3a.Fase'!$D$10,'Carnet 3a.Fase'!$E$18,'Carnet 3a.Fase'!$E$28</definedName>
    <definedName name="ASVFM_JOGOS">'Carnet 3a.Fase'!$E$10,'Carnet 3a.Fase'!$D$18,'Carnet 3a.Fase'!$D$28</definedName>
    <definedName name="ATLETICO_ADV">'Carnet 1a.Fase'!$E$35,'Carnet 1a.Fase'!$D$69,'Carnet 1a.Fase'!$D$102</definedName>
    <definedName name="ATLETICO_JOGOS">'Carnet 1a.Fase'!$D$35,'Carnet 1a.Fase'!$E$69,'Carnet 1a.Fase'!$E$102</definedName>
    <definedName name="AVAI_ADV">'Carnet 1a.Fase'!$E$27,'Carnet 1a.Fase'!$D$61,'Carnet 1a.Fase'!$D$94</definedName>
    <definedName name="AVAI_JOGOS">'Carnet 1a.Fase'!$D$27,'Carnet 1a.Fase'!$E$61,'Carnet 1a.Fase'!$E$94</definedName>
    <definedName name="BAGE_ADV">'Carnet 1a.Fase'!$E$12,'Carnet 1a.Fase'!$D$46,'Carnet 1a.Fase'!$D$79</definedName>
    <definedName name="BAGE_JOGOS">'Carnet 1a.Fase'!$D$12,'Carnet 1a.Fase'!$E$46,'Carnet 1a.Fase'!$E$79</definedName>
    <definedName name="BAHIA_ADV">'Carnet 1a.Fase'!$D$38,'Carnet 1a.Fase'!$E$73,'Carnet 1a.Fase'!$D$107</definedName>
    <definedName name="BAHIA_JOGOS">'Carnet 1a.Fase'!$E$38,'Carnet 1a.Fase'!$D$73,'Carnet 1a.Fase'!$E$107</definedName>
    <definedName name="BENTO_ADV">'Carnet 1a.Fase'!$D$7,'Carnet 1a.Fase'!$E$42,'Carnet 1a.Fase'!$D$76</definedName>
    <definedName name="BENTO_JOGOS">'Carnet 1a.Fase'!$E$7,'Carnet 1a.Fase'!$D$42,'Carnet 1a.Fase'!$E$76</definedName>
    <definedName name="BLUMENAU_ADV">'Carnet 1a.Fase'!$D$29,'Carnet 1a.Fase'!$E$62,'Carnet 1a.Fase'!$E$97</definedName>
    <definedName name="BLUMENAU_JOGOS">'Carnet 1a.Fase'!$E$29,'Carnet 1a.Fase'!$D$62,'Carnet 1a.Fase'!$D$97</definedName>
    <definedName name="BOLIVIA_ADV">'Carnet 2a.Fase'!$D$13,'Carnet 2a.Fase'!$E$31,'Carnet 2a.Fase'!$D$48</definedName>
    <definedName name="BOLIVIA_JOGOS">'Carnet 2a.Fase'!$E$13,'Carnet 2a.Fase'!$D$31,'Carnet 2a.Fase'!$E$48</definedName>
    <definedName name="BOTAFOGO_ADV">'Carnet 1a.Fase'!$D$32,'Carnet 1a.Fase'!$E$67,'Carnet 1a.Fase'!$D$101</definedName>
    <definedName name="BOTAFOGO_JOGOS">'Carnet 1a.Fase'!$E$32,'Carnet 1a.Fase'!$D$67,'Carnet 1a.Fase'!$E$101</definedName>
    <definedName name="BRASIL_ADV">'Carnet 2a.Fase'!$E$8,'Carnet 2a.Fase'!$D$25,'Carnet 2a.Fase'!$D$41</definedName>
    <definedName name="BRASIL_JOGOS">'Carnet 2a.Fase'!$D$8,'Carnet 2a.Fase'!$E$25,'Carnet 2a.Fase'!$E$41</definedName>
    <definedName name="BRASILIA_ADV">'Carnet 1a.Fase'!$E$22,'Carnet 1a.Fase'!$D$56,'Carnet 1a.Fase'!$D$89</definedName>
    <definedName name="BRASILIA_JOGOS">'Carnet 1a.Fase'!$D$22,'Carnet 1a.Fase'!$E$56,'Carnet 1a.Fase'!$E$89</definedName>
    <definedName name="BULGARIA_ADV">'Carnet 2a.Fase'!$E$20,'Carnet 2a.Fase'!$D$37,'Carnet 2a.Fase'!$D$53</definedName>
    <definedName name="BULGARIA_JOGOS">'Carnet 2a.Fase'!$D$20,'Carnet 2a.Fase'!$E$37,'Carnet 2a.Fase'!$E$53</definedName>
    <definedName name="CACHOEIRA_ADV">'Carnet 1a.Fase'!$E$13,'Carnet 1a.Fase'!$D$47,'Carnet 1a.Fase'!$E$81</definedName>
    <definedName name="CACHOEIRA_JOGOS">'Carnet 1a.Fase'!$D$13,'Carnet 1a.Fase'!$E$47,'Carnet 1a.Fase'!$D$81</definedName>
    <definedName name="CAIXERAL_ADV">'Carnet 3a.Fase'!$D$14,'Carnet 3a.Fase'!$E$22,'Carnet 3a.Fase'!$E$32</definedName>
    <definedName name="CAIXERAL_JOGOS">'Carnet 3a.Fase'!$E$14,'Carnet 3a.Fase'!$D$22,'Carnet 3a.Fase'!$D$32</definedName>
    <definedName name="CAMAQUÃ_ADV">'Carnet 1a.Fase'!$D$13,'Carnet 1a.Fase'!$E$48,'Carnet 1a.Fase'!$D$82</definedName>
    <definedName name="CAMAQUÃ_JOGOS">'Carnet 1a.Fase'!$E$13,'Carnet 1a.Fase'!$D$48,'Carnet 1a.Fase'!$E$82</definedName>
    <definedName name="CANADA_ADV">'Carnet 2a.Fase'!$D$12,'Carnet 2a.Fase'!$E$28,'Carnet 2a.Fase'!$E$46</definedName>
    <definedName name="CANADA_JOGOS">'Carnet 2a.Fase'!$E$12,'Carnet 2a.Fase'!$D$28,'Carnet 2a.Fase'!$D$46</definedName>
    <definedName name="CANGUÇU_ADV">'Carnet 1a.Fase'!$D$12,'Carnet 1a.Fase'!$E$45,'Carnet 1a.Fase'!$E$80</definedName>
    <definedName name="CANGUÇU_JOGOS">'Carnet 1a.Fase'!$E$12,'Carnet 1a.Fase'!$D$45,'Carnet 1a.Fase'!$D$80</definedName>
    <definedName name="CANOAS_ADV">'Carnet 1a.Fase'!$E$7,'Carnet 1a.Fase'!$D$41,'Carnet 1a.Fase'!$E$75</definedName>
    <definedName name="CANOAS_JOGOS">'Carnet 1a.Fase'!$D$7,'Carnet 1a.Fase'!$E$41,'Carnet 1a.Fase'!$D$75</definedName>
    <definedName name="CATARINA_ADV">'Carnet 1a.Fase'!$D$21,'Carnet 1a.Fase'!$E$56,'Carnet 1a.Fase'!$D$90</definedName>
    <definedName name="CATARINA_JOGOS">'Carnet 1a.Fase'!$E$21,'Carnet 1a.Fase'!$D$56,'Carnet 1a.Fase'!$E$90</definedName>
    <definedName name="CAXIAS_ADV">'Carnet 1a.Fase'!$E$30,'Carnet 1a.Fase'!$D$64,'Carnet 1a.Fase'!$E$98</definedName>
    <definedName name="CAXIAS_JOGOS">'Carnet 1a.Fase'!$D$30,'Carnet 1a.Fase'!$E$64,'Carnet 1a.Fase'!$D$98</definedName>
    <definedName name="CEARÁ_ADV">'Carnet 1a.Fase'!$D$19,'Carnet 1a.Fase'!$E$54,'Carnet 1a.Fase'!$D$88</definedName>
    <definedName name="CEARÁ_JOGOS">'Carnet 1a.Fase'!$E$19,'Carnet 1a.Fase'!$D$54,'Carnet 1a.Fase'!$E$88</definedName>
    <definedName name="CHARQUEADAS_ADV">'Carnet 1a.Fase'!$E$14,'Carnet 1a.Fase'!$D$48,'Carnet 1a.Fase'!$D$81</definedName>
    <definedName name="CHARQUEADAS_JOGOS">'Carnet 1a.Fase'!$D$14,'Carnet 1a.Fase'!$E$48,'Carnet 1a.Fase'!$E$81</definedName>
    <definedName name="CHILE_ADV">'Carnet 2a.Fase'!$E$9,'Carnet 2a.Fase'!$D$26,'Carnet 2a.Fase'!$E$43</definedName>
    <definedName name="CHILE_JOGOS">'Carnet 2a.Fase'!$D$9,'Carnet 2a.Fase'!$E$26,'Carnet 2a.Fase'!$D$43</definedName>
    <definedName name="CHINA_ADV">'Carnet 2a.Fase'!$E$22,'Carnet 2a.Fase'!$D$39,'Carnet 2a.Fase'!$D$55</definedName>
    <definedName name="CHINA_JOGOS">'Carnet 2a.Fase'!$D$22,'Carnet 2a.Fase'!$E$39,'Carnet 2a.Fase'!$E$55</definedName>
    <definedName name="CHUI_ADV">'Carnet 1a.Fase'!$D$9,'Carnet 1a.Fase'!$E$44,'Carnet 1a.Fase'!$D$78</definedName>
    <definedName name="CHUI_JOGOS">'Carnet 1a.Fase'!$E$9,'Carnet 1a.Fase'!$D$44,'Carnet 1a.Fase'!$E$78</definedName>
    <definedName name="COLOMBIA_ADV">'Carnet 2a.Fase'!$D$10,'Carnet 2a.Fase'!$E$26,'Carnet 2a.Fase'!$E$44</definedName>
    <definedName name="COLOMBIA_JOGOS">'Carnet 2a.Fase'!$E$10,'Carnet 2a.Fase'!$D$26,'Carnet 2a.Fase'!$D$44</definedName>
    <definedName name="COP_ADV">'Carnet 3a.Fase'!$E$11,'Carnet 3a.Fase'!$D$20,'Carnet 3a.Fase'!$E$29</definedName>
    <definedName name="COP_JOGOS">'Carnet 3a.Fase'!$D$11,'Carnet 3a.Fase'!$E$20,'Carnet 3a.Fase'!$D$29</definedName>
    <definedName name="COREIA_ADV">'Carnet 2a.Fase'!$D$22,'Carnet 2a.Fase'!$E$38,'Carnet 2a.Fase'!$E$56</definedName>
    <definedName name="COREIA_JOGOS">'Carnet 2a.Fase'!$E$22,'Carnet 2a.Fase'!$D$38,'Carnet 2a.Fase'!$D$56</definedName>
    <definedName name="CORITIBA_ADV">'Carnet 1a.Fase'!$E$29,'Carnet 1a.Fase'!$D$63,'Carnet 1a.Fase'!$D$96</definedName>
    <definedName name="CORITIBA_JOGOS">'Carnet 1a.Fase'!$D$29,'Carnet 1a.Fase'!$E$63,'Carnet 1a.Fase'!$E$96</definedName>
    <definedName name="CRB_ADV">'Carnet 1a.Fase'!$E$36,'Carnet 1a.Fase'!$D$70,'Carnet 1a.Fase'!$E$104</definedName>
    <definedName name="CRB_JOGOS">'Carnet 1a.Fase'!$D$36,'Carnet 1a.Fase'!$E$70,'Carnet 1a.Fase'!$D$104</definedName>
    <definedName name="CRICIUMA_ADV">'Carnet 1a.Fase'!$D$27,'Carnet 1a.Fase'!$E$60,'Carnet 1a.Fase'!$E$95</definedName>
    <definedName name="CRICIUMA_JOGOS">'Carnet 1a.Fase'!$E$27,'Carnet 1a.Fase'!$D$60,'Carnet 1a.Fase'!$D$95</definedName>
    <definedName name="CRUZEIRO_ADV">'Carnet 1a.Fase'!$E$34,'Carnet 1a.Fase'!$D$68,'Carnet 1a.Fase'!$E$102</definedName>
    <definedName name="CRUZEIRO_JOGOS">'Carnet 1a.Fase'!$D$34,'Carnet 1a.Fase'!$E$68,'Carnet 1a.Fase'!$D$102</definedName>
    <definedName name="CSA_ADV">'Carnet 1a.Fase'!$E$37,'Carnet 1a.Fase'!$D$71,'Carnet 1a.Fase'!$D$104</definedName>
    <definedName name="CSA_JOGOS">'Carnet 1a.Fase'!$D$37,'Carnet 1a.Fase'!$E$71,'Carnet 1a.Fase'!$E$104</definedName>
    <definedName name="CUBA_ADV">'Carnet 2a.Fase'!$D$11,'Carnet 2a.Fase'!$E$29,'Carnet 2a.Fase'!$D$46</definedName>
    <definedName name="CUBA_JOGOS">'Carnet 2a.Fase'!$E$11,'Carnet 2a.Fase'!$D$29,'Carnet 2a.Fase'!$E$46</definedName>
    <definedName name="Drawpoints">'Group Points'!$B$5</definedName>
    <definedName name="ECFLA_ADV">'Carnet 3a.Fase'!$E$14,'Carnet 3a.Fase'!$D$23,'Carnet 3a.Fase'!$D$31</definedName>
    <definedName name="ECFLA_JOGOS">'Carnet 3a.Fase'!$D$14,'Carnet 3a.Fase'!$E$23,'Carnet 3a.Fase'!$E$31</definedName>
    <definedName name="EQUADOR_ADV">'Carnet 2a.Fase'!$E$10,'Carnet 2a.Fase'!$D$27,'Carnet 2a.Fase'!$D$43</definedName>
    <definedName name="EQUADOR_JOGOS">'Carnet 2a.Fase'!$D$10,'Carnet 2a.Fase'!$E$27,'Carnet 2a.Fase'!$E$43</definedName>
    <definedName name="ESPANHA_ADV">'Carnet 2a.Fase'!$E$17,'Carnet 2a.Fase'!$D$34,'Carnet 2a.Fase'!$E$51</definedName>
    <definedName name="ESPANHA_JOGOS">'Carnet 2a.Fase'!$D$17,'Carnet 2a.Fase'!$E$34,'Carnet 2a.Fase'!$D$51</definedName>
    <definedName name="ESPORTIVO_ADV">'Carnet 1a.Fase'!$E$25,'Carnet 1a.Fase'!$D$59,'Carnet 1a.Fase'!$D$92</definedName>
    <definedName name="ESPORTIVO_JOGOS">'Carnet 1a.Fase'!$D$25,'Carnet 1a.Fase'!$E$59,'Carnet 1a.Fase'!$E$92</definedName>
    <definedName name="FLAMENGO_ADV">'Carnet 1a.Fase'!$E$33,'Carnet 1a.Fase'!$D$67,'Carnet 1a.Fase'!$D$100</definedName>
    <definedName name="FLAMENGO_JOGOS">'Carnet 1a.Fase'!$D$33,'Carnet 1a.Fase'!$E$67,'Carnet 1a.Fase'!$E$100</definedName>
    <definedName name="FLUMINENSE_ADV">'Carnet 1a.Fase'!$D$33,'Carnet 1a.Fase'!$E$66,'Carnet 1a.Fase'!$E$101</definedName>
    <definedName name="FLUMINENSE_JOGOS">'Carnet 1a.Fase'!$E$33,'Carnet 1a.Fase'!$D$66,'Carnet 1a.Fase'!$D$101</definedName>
    <definedName name="FRANÇA_ADV">'Carnet 2a.Fase'!$D$15,'Carnet 2a.Fase'!$E$33,'Carnet 2a.Fase'!$D$50</definedName>
    <definedName name="FRANÇA_JOGOS">'Carnet 2a.Fase'!$E$15,'Carnet 2a.Fase'!$D$33,'Carnet 2a.Fase'!$E$50</definedName>
    <definedName name="GEVI_ADV">'Carnet 3a.Fase'!$E$8,'Carnet 3a.Fase'!$D$17,'Carnet 3a.Fase'!$D$25</definedName>
    <definedName name="GEVI_JOGOS">'Carnet 3a.Fase'!$D$8,'Carnet 3a.Fase'!$E$17,'Carnet 3a.Fase'!$E$25</definedName>
    <definedName name="GOIAS_ADV">'Carnet 1a.Fase'!$E$18,'Carnet 1a.Fase'!$D$52,'Carnet 1a.Fase'!$D$85</definedName>
    <definedName name="GOIAS_JOGOS">'Carnet 1a.Fase'!$D$18,'Carnet 1a.Fase'!$E$52,'Carnet 1a.Fase'!$E$85</definedName>
    <definedName name="GRECIA_ADV">'Carnet 2a.Fase'!$D$19,'Carnet 2a.Fase'!$E$37,'Carnet 2a.Fase'!$D$54</definedName>
    <definedName name="GRECIA_JOGOS">'Carnet 2a.Fase'!$E$19,'Carnet 2a.Fase'!$D$37,'Carnet 2a.Fase'!$E$54</definedName>
    <definedName name="GREMIO_ADV">'Carnet 1a.Fase'!$E$24,'Carnet 1a.Fase'!$D$58,'Carnet 1a.Fase'!$E$92</definedName>
    <definedName name="GREMIO_JOGOS">'Carnet 1a.Fase'!$D$24,'Carnet 1a.Fase'!$E$58,'Carnet 1a.Fase'!$D$92</definedName>
    <definedName name="Groupstage_Lose">'Carnet 3a.Fase'!$J$7:$J$32</definedName>
    <definedName name="Groupstage_Loser">'Carnet 2a.Fase'!$J$7:$J$56</definedName>
    <definedName name="Groupstage_Losers">'Carnet 1a.Fase'!$J$7:$J$107</definedName>
    <definedName name="Groupstage_Winne">'Carnet 3a.Fase'!$I$7:$I$32</definedName>
    <definedName name="Groupstage_Winner">'Carnet 2a.Fase'!$I$7:$I$56</definedName>
    <definedName name="Groupstage_Winners">'Carnet 1a.Fase'!$I$7:$I$107</definedName>
    <definedName name="GUAIBA_ADV">'Carnet 1a.Fase'!$E$9,'Carnet 1a.Fase'!$D$43,'Carnet 1a.Fase'!$E$77</definedName>
    <definedName name="GUAIBA_JOGOS">'Carnet 1a.Fase'!$D$9,'Carnet 1a.Fase'!$E$43,'Carnet 1a.Fase'!$D$77</definedName>
    <definedName name="GUARANI_ADV">'Carnet 1a.Fase'!$D$30,'Carnet 1a.Fase'!$E$65,'Carnet 1a.Fase'!$D$99</definedName>
    <definedName name="GUARANI_JOGOS">'Carnet 1a.Fase'!$E$30,'Carnet 1a.Fase'!$D$65,'Carnet 1a.Fase'!$E$99</definedName>
    <definedName name="HAITI_ADV">'Carnet 2a.Fase'!$E$14,'Carnet 2a.Fase'!$D$31,'Carnet 2a.Fase'!$D$47</definedName>
    <definedName name="HAITI_JOGOS">'Carnet 2a.Fase'!$D$14,'Carnet 2a.Fase'!$E$31,'Carnet 2a.Fase'!$E$47</definedName>
    <definedName name="HONDURAS_ADV">'Carnet 2a.Fase'!$E$13,'Carnet 2a.Fase'!$D$30,'Carnet 2a.Fase'!$E$47</definedName>
    <definedName name="HONDURAS_JOGOS">'Carnet 2a.Fase'!$D$13,'Carnet 2a.Fase'!$E$30,'Carnet 2a.Fase'!$D$47</definedName>
    <definedName name="HUNGRIA_ADV">'Carnet 2a.Fase'!$D$17,'Carnet 2a.Fase'!$E$35,'Carnet 2a.Fase'!$D$52</definedName>
    <definedName name="HUNGRIA_JOGOS">'Carnet 2a.Fase'!$E$17,'Carnet 2a.Fase'!$D$35,'Carnet 2a.Fase'!$E$52</definedName>
    <definedName name="INGLATERRA_ADV">'Carnet 2a.Fase'!$E$16,'Carnet 2a.Fase'!$D$33,'Carnet 2a.Fase'!$D$49</definedName>
    <definedName name="INGLATERRA_JOGOS">'Carnet 2a.Fase'!$D$16,'Carnet 2a.Fase'!$E$33,'Carnet 2a.Fase'!$E$49</definedName>
    <definedName name="INTER_ADV">'Carnet 1a.Fase'!$E$26,'Carnet 1a.Fase'!$D$60,'Carnet 1a.Fase'!$E$94</definedName>
    <definedName name="INTER_JOGOS">'Carnet 1a.Fase'!$D$26,'Carnet 1a.Fase'!$E$60,'Carnet 1a.Fase'!$D$94</definedName>
    <definedName name="ITALIA_ADV">'Carnet 2a.Fase'!$D$16,'Carnet 2a.Fase'!$E$32,'Carnet 2a.Fase'!$E$50</definedName>
    <definedName name="ITALIA_JOGOS">'Carnet 2a.Fase'!$E$16,'Carnet 2a.Fase'!$D$32,'Carnet 2a.Fase'!$D$50</definedName>
    <definedName name="JAPÃO_ADV">'Carnet 2a.Fase'!$E$21,'Carnet 2a.Fase'!$D$38,'Carnet 2a.Fase'!$E$55</definedName>
    <definedName name="JAPÃO_JOGOS">'Carnet 2a.Fase'!$D$21,'Carnet 2a.Fase'!$E$38,'Carnet 2a.Fase'!$D$55</definedName>
    <definedName name="JUVE_ADV">'Carnet 1a.Fase'!$E$28,'Carnet 1a.Fase'!$D$62,'Carnet 1a.Fase'!$E$96</definedName>
    <definedName name="JUVE_JOGOS">'Carnet 1a.Fase'!$D$28,'Carnet 1a.Fase'!$E$62,'Carnet 1a.Fase'!$D$96</definedName>
    <definedName name="LAVRAS_ADV">'Carnet 1a.Fase'!$D$14,'Carnet 1a.Fase'!$E$47,'Carnet 1a.Fase'!$E$82</definedName>
    <definedName name="LAVRAS_JOGOS">'Carnet 1a.Fase'!$E$14,'Carnet 1a.Fase'!$D$47,'Carnet 1a.Fase'!$D$82</definedName>
    <definedName name="LIVRAMENTO_ADV">'Carnet 1a.Fase'!$D$11,'Carnet 1a.Fase'!$E$46,'Carnet 1a.Fase'!$D$80</definedName>
    <definedName name="LIVRAMENTO_JOGOS">'Carnet 1a.Fase'!$E$11,'Carnet 1a.Fase'!$D$46,'Carnet 1a.Fase'!$E$80</definedName>
    <definedName name="LONDRINA_ADV">'Carnet 1a.Fase'!$D$25,'Carnet 1a.Fase'!$E$58,'Carnet 1a.Fase'!$E$93</definedName>
    <definedName name="LONDRINA_JOGOS">'Carnet 1a.Fase'!$E$25,'Carnet 1a.Fase'!$D$58,'Carnet 1a.Fase'!$D$93</definedName>
    <definedName name="LUSA_ADV">'Carnet 1a.Fase'!$D$28,'Carnet 1a.Fase'!$E$63,'Carnet 1a.Fase'!$D$97</definedName>
    <definedName name="LUSA_JOGOS">'Carnet 1a.Fase'!$E$28,'Carnet 1a.Fase'!$D$63,'Carnet 1a.Fase'!$E$97</definedName>
    <definedName name="MARANHÃO_ADV">'Carnet 1a.Fase'!$D$22,'Carnet 1a.Fase'!$E$55,'Carnet 1a.Fase'!$E$90</definedName>
    <definedName name="MARANHÃO_JOGOS">'Carnet 1a.Fase'!$E$22,'Carnet 1a.Fase'!$D$55,'Carnet 1a.Fase'!$D$90</definedName>
    <definedName name="MARINGA_ADV">'Carnet 1a.Fase'!$D$31,'Carnet 1a.Fase'!$E$64,'Carnet 1a.Fase'!$E$99</definedName>
    <definedName name="MARINGA_JOGOS">'Carnet 1a.Fase'!$E$31,'Carnet 1a.Fase'!$D$64,'Carnet 1a.Fase'!$D$99</definedName>
    <definedName name="MEXICO_ADV">'Carnet 2a.Fase'!$E$12,'Carnet 2a.Fase'!$D$29,'Carnet 2a.Fase'!$D$45</definedName>
    <definedName name="MEXICO_JOGOS">'Carnet 2a.Fase'!$D$12,'Carnet 2a.Fase'!$E$29,'Carnet 2a.Fase'!$E$45</definedName>
    <definedName name="MINAS_ADV">'Carnet 1a.Fase'!$E$16,'Carnet 1a.Fase'!$D$50,'Carnet 1a.Fase'!$D$83</definedName>
    <definedName name="MINAS_JOGOS">'Carnet 1a.Fase'!$D$16,'Carnet 1a.Fase'!$E$50,'Carnet 1a.Fase'!$E$83</definedName>
    <definedName name="NACIONAL_ADV">'Carnet 1a.Fase'!$D$37,'Carnet 1a.Fase'!$E$70,'Carnet 1a.Fase'!$E$105</definedName>
    <definedName name="NACIONAL_JOGOS">'Carnet 1a.Fase'!$E$37,'Carnet 1a.Fase'!$D$70,'Carnet 1a.Fase'!$D$105</definedName>
    <definedName name="NAUTICO_ADV">'Carnet 1a.Fase'!$E$39,'Carnet 1a.Fase'!$D$73,'Carnet 1a.Fase'!$D$106</definedName>
    <definedName name="NAUTICO_JOGOS">'Carnet 1a.Fase'!$D$39,'Carnet 1a.Fase'!$E$73,'Carnet 1a.Fase'!$E$106</definedName>
    <definedName name="PALMEIRAS_ADV">'Carnet 1a.Fase'!$D$24,'Carnet 1a.Fase'!$E$59,'Carnet 1a.Fase'!$D$93</definedName>
    <definedName name="PALMEIRAS_JOGOS">'Carnet 1a.Fase'!$E$24,'Carnet 1a.Fase'!$D$59,'Carnet 1a.Fase'!$E$93</definedName>
    <definedName name="PARÁ_ADV">'Carnet 1a.Fase'!$E$21,'Carnet 1a.Fase'!$D$55,'Carnet 1a.Fase'!$E$89</definedName>
    <definedName name="PARÁ_JOGOS">'Carnet 1a.Fase'!$D$21,'Carnet 1a.Fase'!$E$55,'Carnet 1a.Fase'!$D$89</definedName>
    <definedName name="PARAGUAI_ADV">'Carnet 2a.Fase'!$D$7,'Carnet 2a.Fase'!$E$25,'Carnet 2a.Fase'!$D$42</definedName>
    <definedName name="PARAGUAI_JOGOS">'Carnet 2a.Fase'!$E$7,'Carnet 2a.Fase'!$D$25,'Carnet 2a.Fase'!$E$42</definedName>
    <definedName name="PARAIBA_ADV">'Carnet 1a.Fase'!$E$17,'Carnet 1a.Fase'!$D$51,'Carnet 1a.Fase'!$E$85</definedName>
    <definedName name="PARAIBA_JOGOS">'Carnet 1a.Fase'!$D$17,'Carnet 1a.Fase'!$E$51,'Carnet 1a.Fase'!$D$85</definedName>
    <definedName name="PARANA_ADV">'Carnet 1a.Fase'!$E$31,'Carnet 1a.Fase'!$D$65,'Carnet 1a.Fase'!$D$98</definedName>
    <definedName name="PARANA_JOGOS">'Carnet 1a.Fase'!$D$31,'Carnet 1a.Fase'!$E$65,'Carnet 1a.Fase'!$E$98</definedName>
    <definedName name="PAULISTA_ADV">'Carnet 3a.Fase'!$D$11,'Carnet 3a.Fase'!$E$21,'Carnet 3a.Fase'!$D$30</definedName>
    <definedName name="PAULISTA_JOGOS">'Carnet 3a.Fase'!$E$11,'Carnet 3a.Fase'!$D$21,'Carnet 3a.Fase'!$E$30</definedName>
    <definedName name="PELOTAS_ADV">'Carnet 1a.Fase'!$D$10,'Carnet 1a.Fase'!$E$43,'Carnet 1a.Fase'!$E$78</definedName>
    <definedName name="PELOTAS_JOGOS">'Carnet 1a.Fase'!$E$10,'Carnet 1a.Fase'!$D$43,'Carnet 1a.Fase'!$D$78</definedName>
    <definedName name="PERNAMBUCO_ADV">'Carnet 1a.Fase'!$D$15,'Carnet 1a.Fase'!$E$50,'Carnet 1a.Fase'!$D$84</definedName>
    <definedName name="PERNAMBUCO_JOGOS">'Carnet 1a.Fase'!$E$15,'Carnet 1a.Fase'!$D$50,'Carnet 1a.Fase'!$E$84</definedName>
    <definedName name="PERU_ADV">'Carnet 2a.Fase'!$D$9,'Carnet 2a.Fase'!$E$27,'Carnet 2a.Fase'!$D$44</definedName>
    <definedName name="PERU_JOGOS">'Carnet 2a.Fase'!$E$9,'Carnet 2a.Fase'!$D$27,'Carnet 2a.Fase'!$E$44</definedName>
    <definedName name="POLONIA_ADV">'Carnet 2a.Fase'!$E$19,'Carnet 2a.Fase'!$D$36,'Carnet 2a.Fase'!$E$53</definedName>
    <definedName name="POLONIA_JOGOS">'Carnet 2a.Fase'!$D$19,'Carnet 2a.Fase'!$E$36,'Carnet 2a.Fase'!$D$53</definedName>
    <definedName name="PONTE_ADV">'Carnet 1a.Fase'!$D$34,'Carnet 1a.Fase'!$E$69,'Carnet 1a.Fase'!$D$103</definedName>
    <definedName name="PONTE_JOGOS">'Carnet 1a.Fase'!$E$34,'Carnet 1a.Fase'!$D$69,'Carnet 1a.Fase'!$E$103</definedName>
    <definedName name="PORTÃO_ADV">'Carnet 1a.Fase'!$E$8,'Carnet 1a.Fase'!$D$42,'Carnet 1a.Fase'!$D$75</definedName>
    <definedName name="PORTÃO_JOGOS">'Carnet 1a.Fase'!$D$8,'Carnet 1a.Fase'!$E$42,'Carnet 1a.Fase'!$E$75</definedName>
    <definedName name="PORTUGAL_ADV">'Carnet 2a.Fase'!$E$18,'Carnet 2a.Fase'!$D$35,'Carnet 2a.Fase'!$D$51</definedName>
    <definedName name="PORTUGAL_JOGOS">'Carnet 2a.Fase'!$D$18,'Carnet 2a.Fase'!$E$35,'Carnet 2a.Fase'!$E$51</definedName>
    <definedName name="REMO_ADV">'Carnet 1a.Fase'!$D$36,'Carnet 1a.Fase'!$E$71,'Carnet 1a.Fase'!$D$105</definedName>
    <definedName name="REMO_JOGOS">'Carnet 1a.Fase'!$E$36,'Carnet 1a.Fase'!$D$71,'Carnet 1a.Fase'!$E$105</definedName>
    <definedName name="RIO_ADV">'Carnet 1a.Fase'!$E$15,'Carnet 1a.Fase'!$D$49,'Carnet 1a.Fase'!$E$83</definedName>
    <definedName name="RIO_JOGOS">'Carnet 1a.Fase'!$D$15,'Carnet 1a.Fase'!$E$49,'Carnet 1a.Fase'!$D$83</definedName>
    <definedName name="RIOCELL_ADV">'Carnet 3a.Fase'!$D$7,'Carnet 3a.Fase'!$E$17,'Carnet 3a.Fase'!$D$26</definedName>
    <definedName name="RIOCELL_JOGOS">'Carnet 3a.Fase'!$E$7,'Carnet 3a.Fase'!$D$17,'Carnet 3a.Fase'!$E$26</definedName>
    <definedName name="RONDONIA_ADV">'Carnet 1a.Fase'!$E$20,'Carnet 1a.Fase'!$D$54,'Carnet 1a.Fase'!$D$87</definedName>
    <definedName name="RONDONIA_JOGOS">'Carnet 1a.Fase'!$D$20,'Carnet 1a.Fase'!$E$54,'Carnet 1a.Fase'!$E$87</definedName>
    <definedName name="RORAIMA_ADV">'Carnet 1a.Fase'!$D$20,'Carnet 1a.Fase'!$E$53,'Carnet 1a.Fase'!$E$88</definedName>
    <definedName name="RORAIMA_JOGOS">'Carnet 1a.Fase'!$E$20,'Carnet 1a.Fase'!$D$53,'Carnet 1a.Fase'!$D$88</definedName>
    <definedName name="RUSSIA_ADV">'Carnet 2a.Fase'!$D$18,'Carnet 2a.Fase'!$E$34,'Carnet 2a.Fase'!$E$52</definedName>
    <definedName name="RUSSIA_JOGOS">'Carnet 2a.Fase'!$E$18,'Carnet 2a.Fase'!$D$34,'Carnet 2a.Fase'!$D$52</definedName>
    <definedName name="SALVADOR_ADV">'Carnet 2a.Fase'!$D$14,'Carnet 2a.Fase'!$E$30,'Carnet 2a.Fase'!$E$48</definedName>
    <definedName name="SALVADOR_JOGOS">'Carnet 2a.Fase'!$E$14,'Carnet 2a.Fase'!$D$30,'Carnet 2a.Fase'!$D$48</definedName>
    <definedName name="SANTA_ADV">'Carnet 1a.Fase'!$D$39,'Carnet 1a.Fase'!$E$72,'Carnet 1a.Fase'!$E$107</definedName>
    <definedName name="SANTA_JOGOS">'Carnet 1a.Fase'!$E$39,'Carnet 1a.Fase'!$D$72,'Carnet 1a.Fase'!$D$107</definedName>
    <definedName name="SANTANENSE_ADV">'Carnet 3a.Fase'!$E$13,'Carnet 3a.Fase'!$D$22,'Carnet 3a.Fase'!$E$31</definedName>
    <definedName name="SANTANENSE_JOGOS">'Carnet 3a.Fase'!$D$13,'Carnet 3a.Fase'!$E$22,'Carnet 3a.Fase'!$D$31</definedName>
    <definedName name="SANTOS_ADV">'Carnet 1a.Fase'!$D$26,'Carnet 1a.Fase'!$E$61,'Carnet 1a.Fase'!$D$95</definedName>
    <definedName name="SANTOS_JOGOS">'Carnet 1a.Fase'!$E$26,'Carnet 1a.Fase'!$D$61,'Carnet 1a.Fase'!$E$95</definedName>
    <definedName name="SERGIPE_ADV">'Carnet 1a.Fase'!$D$16,'Carnet 1a.Fase'!$E$49,'Carnet 1a.Fase'!$E$84</definedName>
    <definedName name="SERGIPE_JOGOS">'Carnet 1a.Fase'!$E$16,'Carnet 1a.Fase'!$D$49,'Carnet 1a.Fase'!$D$84</definedName>
    <definedName name="SPORT_ADV">'Carnet 1a.Fase'!$E$38,'Carnet 1a.Fase'!$D$72,'Carnet 1a.Fase'!$E$106</definedName>
    <definedName name="SPORT_JOGOS">'Carnet 1a.Fase'!$D$38,'Carnet 1a.Fase'!$E$72,'Carnet 1a.Fase'!$D$106</definedName>
    <definedName name="TAPES_ADV">'Carnet 1a.Fase'!$E$10,'Carnet 1a.Fase'!$D$44,'Carnet 1a.Fase'!$D$77</definedName>
    <definedName name="TAPES_JOGOS">'Carnet 1a.Fase'!$D$10,'Carnet 1a.Fase'!$E$44,'Carnet 1a.Fase'!$E$77</definedName>
    <definedName name="TRIANON_ADV">'Carnet 3a.Fase'!$D$13,'Carnet 3a.Fase'!$E$23,'Carnet 3a.Fase'!$D$32</definedName>
    <definedName name="TRIANON_JOGOS">'Carnet 3a.Fase'!$E$13,'Carnet 3a.Fase'!$D$23,'Carnet 3a.Fase'!$E$32</definedName>
    <definedName name="TURQUIA_ADV">'Carnet 2a.Fase'!$D$20,'Carnet 2a.Fase'!$E$36,'Carnet 2a.Fase'!$E$54</definedName>
    <definedName name="TURQUIA_JOGOS">'Carnet 2a.Fase'!$E$20,'Carnet 2a.Fase'!$D$36,'Carnet 2a.Fase'!$D$54</definedName>
    <definedName name="URUGUAI_ADV">'Carnet 2a.Fase'!$D$8,'Carnet 2a.Fase'!$E$24,'Carnet 2a.Fase'!$E$42</definedName>
    <definedName name="URUGUAI_JOGOS">'Carnet 2a.Fase'!$E$8,'Carnet 2a.Fase'!$D$24,'Carnet 2a.Fase'!$D$42</definedName>
    <definedName name="VASCO_ADV">'Carnet 1a.Fase'!$E$32,'Carnet 1a.Fase'!$D$66,'Carnet 1a.Fase'!$E$100</definedName>
    <definedName name="VASCO_JOGOS">'Carnet 1a.Fase'!$D$32,'Carnet 1a.Fase'!$E$66,'Carnet 1a.Fase'!$D$100</definedName>
    <definedName name="VENEZUELA_ADV">'Carnet 2a.Fase'!$E$11,'Carnet 2a.Fase'!$D$28,'Carnet 2a.Fase'!$E$45</definedName>
    <definedName name="VENEZUELA_JOGOS">'Carnet 2a.Fase'!$D$11,'Carnet 2a.Fase'!$E$28,'Carnet 2a.Fase'!$D$45</definedName>
    <definedName name="VIAMÃO_ADV">'Carnet 1a.Fase'!$D$8,'Carnet 1a.Fase'!$E$41,'Carnet 1a.Fase'!$E$76</definedName>
    <definedName name="VIAMÃO_JOGOS">'Carnet 1a.Fase'!$E$8,'Carnet 1a.Fase'!$D$41,'Carnet 1a.Fase'!$D$76</definedName>
    <definedName name="Winpoints">'Group Points'!$B$4</definedName>
  </definedNames>
  <calcPr fullCalcOnLoad="1"/>
</workbook>
</file>

<file path=xl/sharedStrings.xml><?xml version="1.0" encoding="utf-8"?>
<sst xmlns="http://schemas.openxmlformats.org/spreadsheetml/2006/main" count="1541" uniqueCount="246">
  <si>
    <t>CHAVE 1</t>
  </si>
  <si>
    <t>CHAVE 2</t>
  </si>
  <si>
    <t>CHAVE 3</t>
  </si>
  <si>
    <t>CHAVE 4</t>
  </si>
  <si>
    <t>PAULO</t>
  </si>
  <si>
    <t>CHRISTIAN</t>
  </si>
  <si>
    <t>RODRIGO B.</t>
  </si>
  <si>
    <t>LUCIANO</t>
  </si>
  <si>
    <t>LEÃO</t>
  </si>
  <si>
    <t>ELIAS</t>
  </si>
  <si>
    <t>ANTONIO</t>
  </si>
  <si>
    <t>EMERSON</t>
  </si>
  <si>
    <t>DIOGO BRAGA</t>
  </si>
  <si>
    <t>ALDYR</t>
  </si>
  <si>
    <t>ZILBER</t>
  </si>
  <si>
    <t>PAIM</t>
  </si>
  <si>
    <t>ROBSON</t>
  </si>
  <si>
    <t>BETÃO</t>
  </si>
  <si>
    <t>CAJU</t>
  </si>
  <si>
    <t>JULIO</t>
  </si>
  <si>
    <t>CHAVE 5</t>
  </si>
  <si>
    <t>CHAVE 6</t>
  </si>
  <si>
    <t>CHAVE 7</t>
  </si>
  <si>
    <t>CHAVE 8</t>
  </si>
  <si>
    <t>MARCOS JUNQ.</t>
  </si>
  <si>
    <t>FERNANDO</t>
  </si>
  <si>
    <t>MARQUINHO</t>
  </si>
  <si>
    <t>ITALO</t>
  </si>
  <si>
    <t>MICHEL</t>
  </si>
  <si>
    <t>AUGUSTO</t>
  </si>
  <si>
    <t>SINVAL</t>
  </si>
  <si>
    <t>AZAMBUJA</t>
  </si>
  <si>
    <t>DIOGO MALLET</t>
  </si>
  <si>
    <t>SILVIO</t>
  </si>
  <si>
    <t>MARCOS ANT.</t>
  </si>
  <si>
    <t>ALEX</t>
  </si>
  <si>
    <t>UMBERTO</t>
  </si>
  <si>
    <t>NILMAR</t>
  </si>
  <si>
    <t>SERGIO</t>
  </si>
  <si>
    <t>MALLET</t>
  </si>
  <si>
    <t>CHAVE 9</t>
  </si>
  <si>
    <t>CHAVE 10</t>
  </si>
  <si>
    <t>CHAVE 11</t>
  </si>
  <si>
    <t>CHAVE 12</t>
  </si>
  <si>
    <t>JULINHO</t>
  </si>
  <si>
    <t>KEVIN</t>
  </si>
  <si>
    <t>JOÃO GARIMA</t>
  </si>
  <si>
    <t>CRISTIANO</t>
  </si>
  <si>
    <t>DANI</t>
  </si>
  <si>
    <t>RENAN</t>
  </si>
  <si>
    <t>EVERTON</t>
  </si>
  <si>
    <t>VINHAS</t>
  </si>
  <si>
    <t>JONI</t>
  </si>
  <si>
    <t>FELIPE</t>
  </si>
  <si>
    <t>PUFAL</t>
  </si>
  <si>
    <t>LEANDRO</t>
  </si>
  <si>
    <t>OCHOINHA</t>
  </si>
  <si>
    <t>OSMAR</t>
  </si>
  <si>
    <t>ROGÉRIO FEIJÓ</t>
  </si>
  <si>
    <t>DUDA</t>
  </si>
  <si>
    <t>CHAVE 13</t>
  </si>
  <si>
    <t>CHAVE 14</t>
  </si>
  <si>
    <t>CHAVE 15</t>
  </si>
  <si>
    <t>CHAVE 16</t>
  </si>
  <si>
    <t>JORGITO</t>
  </si>
  <si>
    <t>TERROZO</t>
  </si>
  <si>
    <t>THIAGO SCH.</t>
  </si>
  <si>
    <t>ROGÉRIO HAR.</t>
  </si>
  <si>
    <t>EDISON</t>
  </si>
  <si>
    <t>BRANDÃO</t>
  </si>
  <si>
    <t>MATEUS</t>
  </si>
  <si>
    <t>ALESSANDRO</t>
  </si>
  <si>
    <t>BRENO</t>
  </si>
  <si>
    <t>JOSÉ</t>
  </si>
  <si>
    <t>ELISANDRO</t>
  </si>
  <si>
    <t>LEANDRINHO</t>
  </si>
  <si>
    <t>VINÍCIUS</t>
  </si>
  <si>
    <t>SANDRO</t>
  </si>
  <si>
    <t>RUI</t>
  </si>
  <si>
    <t>VICTOR</t>
  </si>
  <si>
    <t>ESTADUAL ESPECIAL/2010</t>
  </si>
  <si>
    <t>Winner</t>
  </si>
  <si>
    <t>Loser</t>
  </si>
  <si>
    <t>J</t>
  </si>
  <si>
    <t>V</t>
  </si>
  <si>
    <t>D</t>
  </si>
  <si>
    <t>E</t>
  </si>
  <si>
    <t>GP</t>
  </si>
  <si>
    <t>GC</t>
  </si>
  <si>
    <t>SG</t>
  </si>
  <si>
    <t>Pts</t>
  </si>
  <si>
    <t>First Draft</t>
  </si>
  <si>
    <t>Points Sort 1</t>
  </si>
  <si>
    <t>Points Sort 2</t>
  </si>
  <si>
    <t>Points Sort 3</t>
  </si>
  <si>
    <t>GD Sort 1</t>
  </si>
  <si>
    <t>GD Sort 2</t>
  </si>
  <si>
    <t>GD Sort 3</t>
  </si>
  <si>
    <t>F Sort 1</t>
  </si>
  <si>
    <t>F Sort 2</t>
  </si>
  <si>
    <t>F Sort 3</t>
  </si>
  <si>
    <t>JOGOS 1ª FASE</t>
  </si>
  <si>
    <t>CH</t>
  </si>
  <si>
    <t>M</t>
  </si>
  <si>
    <t>ÁRBITRO</t>
  </si>
  <si>
    <t>1ª Rodada - Sexta-Feira - 20:30 horas</t>
  </si>
  <si>
    <t>Group 1</t>
  </si>
  <si>
    <t>Played</t>
  </si>
  <si>
    <t>W</t>
  </si>
  <si>
    <t>L</t>
  </si>
  <si>
    <t>F</t>
  </si>
  <si>
    <t>A</t>
  </si>
  <si>
    <t>GD</t>
  </si>
  <si>
    <t>Points</t>
  </si>
  <si>
    <t>Team</t>
  </si>
  <si>
    <t>P</t>
  </si>
  <si>
    <t>Group 2</t>
  </si>
  <si>
    <t>Group 3</t>
  </si>
  <si>
    <t>2ª Rodada - Sexta-Feira - 21:30 horas</t>
  </si>
  <si>
    <t>Group 4</t>
  </si>
  <si>
    <t>Group 5</t>
  </si>
  <si>
    <t>3ª Rodada - Sábado - 8:00 horas</t>
  </si>
  <si>
    <t>Group 6</t>
  </si>
  <si>
    <t>Group 7</t>
  </si>
  <si>
    <t>Group 8</t>
  </si>
  <si>
    <t>4ª Rodada - Sábado - 9:00 horas</t>
  </si>
  <si>
    <t>Group 9</t>
  </si>
  <si>
    <t>Group 10</t>
  </si>
  <si>
    <t>5ª Rodada - Sábado - 10:00 horas</t>
  </si>
  <si>
    <t>Group 11</t>
  </si>
  <si>
    <t>Group 12</t>
  </si>
  <si>
    <t>Group 13</t>
  </si>
  <si>
    <t>6ª Rodada - Sábado - 11:00 horas</t>
  </si>
  <si>
    <t>Group 14</t>
  </si>
  <si>
    <t>Group 15</t>
  </si>
  <si>
    <t>Group 16</t>
  </si>
  <si>
    <t>CHAVE 17</t>
  </si>
  <si>
    <t>CHAVE 18</t>
  </si>
  <si>
    <t>CHAVE 19</t>
  </si>
  <si>
    <t>CHAVE 20</t>
  </si>
  <si>
    <t>CHAVE 21</t>
  </si>
  <si>
    <t>CHAVE 22</t>
  </si>
  <si>
    <t>CHAVE 23</t>
  </si>
  <si>
    <t>CHAVE 24</t>
  </si>
  <si>
    <t>JOGOS 2ª FASE</t>
  </si>
  <si>
    <t>Chave 17</t>
  </si>
  <si>
    <t>1ª Rodada - Sábado - 14:00 horas</t>
  </si>
  <si>
    <t>Group 17</t>
  </si>
  <si>
    <t>Chave 18</t>
  </si>
  <si>
    <t>Group 18</t>
  </si>
  <si>
    <t>Chave 19</t>
  </si>
  <si>
    <t>Group 19</t>
  </si>
  <si>
    <t>2ª Rodada - Sábado - 15:00 horas</t>
  </si>
  <si>
    <t>Chave 20</t>
  </si>
  <si>
    <t>Group 20</t>
  </si>
  <si>
    <t>Chave 21</t>
  </si>
  <si>
    <t>Group 21</t>
  </si>
  <si>
    <t>Chave 22</t>
  </si>
  <si>
    <t>3ª Rodada - Sábado - 16:00 horas</t>
  </si>
  <si>
    <t>Group 22</t>
  </si>
  <si>
    <t>Chave 23</t>
  </si>
  <si>
    <t>Group 23</t>
  </si>
  <si>
    <t>Chave 24</t>
  </si>
  <si>
    <t>Group 24</t>
  </si>
  <si>
    <t>CHAVE 25</t>
  </si>
  <si>
    <t>CHAVE 26</t>
  </si>
  <si>
    <t>CHAVE 27</t>
  </si>
  <si>
    <t>CHAVE 28</t>
  </si>
  <si>
    <t>JOGOS 3ª FASE</t>
  </si>
  <si>
    <t>Chave 25</t>
  </si>
  <si>
    <t>1ª Rodada - Sábado - 18:00 horas</t>
  </si>
  <si>
    <t>Group 25</t>
  </si>
  <si>
    <t>Chave 26</t>
  </si>
  <si>
    <t>Group 26</t>
  </si>
  <si>
    <t>2ª Rodada - Sábado - 19:00 horas</t>
  </si>
  <si>
    <t>Chave 27</t>
  </si>
  <si>
    <t>Group 27</t>
  </si>
  <si>
    <t>3ª Rodada - Sábado - 20:00 horas</t>
  </si>
  <si>
    <t>Chave 28</t>
  </si>
  <si>
    <t>Group 28</t>
  </si>
  <si>
    <t>JOGOS QUARTAS-DE-FINAL</t>
  </si>
  <si>
    <t xml:space="preserve"> Domingo - 8:30 horas</t>
  </si>
  <si>
    <t>JOGOS SEMIFINAIS</t>
  </si>
  <si>
    <t xml:space="preserve"> Domingo - 9:30 horas</t>
  </si>
  <si>
    <t>JOGOS FINAIS</t>
  </si>
  <si>
    <t xml:space="preserve"> Domingo -10:30 horas</t>
  </si>
  <si>
    <t>CAMPEÃO:</t>
  </si>
  <si>
    <t>VICE-CAMPEÃO</t>
  </si>
  <si>
    <t>3° LUGAR:</t>
  </si>
  <si>
    <t>4° LUGAR:</t>
  </si>
  <si>
    <t xml:space="preserve">MESA Nº 1                            </t>
  </si>
  <si>
    <t>ÁRBITRO:</t>
  </si>
  <si>
    <t xml:space="preserve">MESA Nº 2                </t>
  </si>
  <si>
    <t>X</t>
  </si>
  <si>
    <t xml:space="preserve">MESA Nº 3                         </t>
  </si>
  <si>
    <t xml:space="preserve">MESA Nº 4                            </t>
  </si>
  <si>
    <t xml:space="preserve">MESA Nº 5                        </t>
  </si>
  <si>
    <t xml:space="preserve">MESA Nº 6                         </t>
  </si>
  <si>
    <t xml:space="preserve">MESA Nº 7                             </t>
  </si>
  <si>
    <t xml:space="preserve">MESA Nº 8                                  </t>
  </si>
  <si>
    <t xml:space="preserve">MESA Nº 9                                  </t>
  </si>
  <si>
    <t xml:space="preserve">MESA Nº 10                                  </t>
  </si>
  <si>
    <t xml:space="preserve">MESA Nº 11                                  </t>
  </si>
  <si>
    <t xml:space="preserve">MESA Nº 12                                  </t>
  </si>
  <si>
    <t xml:space="preserve">MESA Nº 13                                  </t>
  </si>
  <si>
    <t xml:space="preserve">MESA Nº 14                                 </t>
  </si>
  <si>
    <t xml:space="preserve">MESA Nº 15                                  </t>
  </si>
  <si>
    <t xml:space="preserve">MESA Nº 16                                 </t>
  </si>
  <si>
    <t xml:space="preserve">MESA Nº 1                                  </t>
  </si>
  <si>
    <t xml:space="preserve">MESA Nº 2                                  </t>
  </si>
  <si>
    <t xml:space="preserve">MESA Nº 3                                  </t>
  </si>
  <si>
    <t xml:space="preserve">MESA Nº 4                                  </t>
  </si>
  <si>
    <t xml:space="preserve">MESA Nº 5                                 </t>
  </si>
  <si>
    <t xml:space="preserve">MESA Nº 6                                   </t>
  </si>
  <si>
    <t xml:space="preserve">MESA Nº 7                                  </t>
  </si>
  <si>
    <t xml:space="preserve">MESA Nº 10                                 </t>
  </si>
  <si>
    <t xml:space="preserve">MESA Nº 12                                 </t>
  </si>
  <si>
    <t xml:space="preserve">MESA Nº 16                                  </t>
  </si>
  <si>
    <t xml:space="preserve">MESA Nº 1                                 </t>
  </si>
  <si>
    <t xml:space="preserve">MESA Nº 2                                 </t>
  </si>
  <si>
    <t xml:space="preserve">MESA Nº 5                                  </t>
  </si>
  <si>
    <t xml:space="preserve">MESA Nº 6                                  </t>
  </si>
  <si>
    <t xml:space="preserve">MESA Nº 14                                  </t>
  </si>
  <si>
    <t xml:space="preserve">MESA Nº 4                                 </t>
  </si>
  <si>
    <t xml:space="preserve">MESA Nº 6                                 </t>
  </si>
  <si>
    <t xml:space="preserve">MESA Nº 15                                 </t>
  </si>
  <si>
    <t xml:space="preserve">MESA Nº 9                                 </t>
  </si>
  <si>
    <t xml:space="preserve">MESA Nº 13                                 </t>
  </si>
  <si>
    <t xml:space="preserve">MESA Nº 7                                 </t>
  </si>
  <si>
    <t xml:space="preserve">MESA Nº 11                                 </t>
  </si>
  <si>
    <t xml:space="preserve">MESA Nº 8                                 </t>
  </si>
  <si>
    <t xml:space="preserve">MESA Nº 1                                   </t>
  </si>
  <si>
    <t xml:space="preserve">MESA Nº                                   </t>
  </si>
  <si>
    <t xml:space="preserve">MESA Nº                                  </t>
  </si>
  <si>
    <t>QUARTAS-DE-FINAL; SEMIFINAIS;FINAIS</t>
  </si>
  <si>
    <t>Groupstage</t>
  </si>
  <si>
    <t>Points for a win</t>
  </si>
  <si>
    <t>Points for a draw</t>
  </si>
  <si>
    <t>VINICIUS</t>
  </si>
  <si>
    <t>ALDIR</t>
  </si>
  <si>
    <t>ALESSANDRO*</t>
  </si>
  <si>
    <t>ELISANDRO*</t>
  </si>
  <si>
    <t>ALEX*</t>
  </si>
  <si>
    <t>VINICIUS*</t>
  </si>
  <si>
    <t>SILVIO*</t>
  </si>
  <si>
    <t>ROBSON/VINICIUS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</si>
</sst>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0"/>
      <color indexed="9"/>
      <name val="Verdana"/>
      <family val="2"/>
    </font>
    <font>
      <b/>
      <sz val="10"/>
      <color indexed="17"/>
      <name val="Verdana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/>
    </xf>
    <xf numFmtId="0" fontId="11" fillId="35" borderId="1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4" fillId="36" borderId="11" xfId="0" applyFont="1" applyFill="1" applyBorder="1" applyAlignment="1" applyProtection="1">
      <alignment horizontal="right"/>
      <protection/>
    </xf>
    <xf numFmtId="0" fontId="4" fillId="36" borderId="12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left"/>
      <protection/>
    </xf>
    <xf numFmtId="0" fontId="4" fillId="36" borderId="13" xfId="0" applyFont="1" applyFill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0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22" xfId="0" applyFont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/>
    </xf>
    <xf numFmtId="0" fontId="4" fillId="36" borderId="12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0" fillId="36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0" fillId="0" borderId="20" xfId="0" applyFont="1" applyBorder="1" applyAlignment="1">
      <alignment horizontal="center"/>
    </xf>
    <xf numFmtId="0" fontId="2" fillId="35" borderId="11" xfId="0" applyNumberFormat="1" applyFont="1" applyFill="1" applyBorder="1" applyAlignment="1" applyProtection="1">
      <alignment horizontal="centerContinuous"/>
      <protection/>
    </xf>
    <xf numFmtId="0" fontId="2" fillId="35" borderId="12" xfId="0" applyNumberFormat="1" applyFont="1" applyFill="1" applyBorder="1" applyAlignment="1" applyProtection="1">
      <alignment horizontal="centerContinuous"/>
      <protection/>
    </xf>
    <xf numFmtId="0" fontId="2" fillId="35" borderId="13" xfId="0" applyNumberFormat="1" applyFont="1" applyFill="1" applyBorder="1" applyAlignment="1" applyProtection="1">
      <alignment horizontal="centerContinuous"/>
      <protection/>
    </xf>
    <xf numFmtId="0" fontId="8" fillId="33" borderId="15" xfId="0" applyNumberFormat="1" applyFont="1" applyFill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 wrapText="1"/>
      <protection locked="0"/>
    </xf>
    <xf numFmtId="0" fontId="0" fillId="0" borderId="0" xfId="0" applyAlignment="1" applyProtection="1">
      <alignment horizontal="centerContinuous" wrapText="1"/>
      <protection locked="0"/>
    </xf>
    <xf numFmtId="0" fontId="8" fillId="33" borderId="0" xfId="0" applyNumberFormat="1" applyFont="1" applyFill="1" applyBorder="1" applyAlignment="1" applyProtection="1">
      <alignment horizontal="centerContinuous"/>
      <protection/>
    </xf>
    <xf numFmtId="0" fontId="10" fillId="0" borderId="25" xfId="0" applyFont="1" applyBorder="1" applyAlignment="1">
      <alignment horizontal="centerContinuous"/>
    </xf>
    <xf numFmtId="0" fontId="10" fillId="0" borderId="26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</xdr:row>
      <xdr:rowOff>76200</xdr:rowOff>
    </xdr:from>
    <xdr:to>
      <xdr:col>2</xdr:col>
      <xdr:colOff>514350</xdr:colOff>
      <xdr:row>25</xdr:row>
      <xdr:rowOff>9525</xdr:rowOff>
    </xdr:to>
    <xdr:sp macro="[0]!Sumulão1">
      <xdr:nvSpPr>
        <xdr:cNvPr id="1" name="Texto 2"/>
        <xdr:cNvSpPr txBox="1">
          <a:spLocks noChangeArrowheads="1"/>
        </xdr:cNvSpPr>
      </xdr:nvSpPr>
      <xdr:spPr>
        <a:xfrm>
          <a:off x="2514600" y="3800475"/>
          <a:ext cx="1428750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IMPRIMIR SUMULÃO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0</xdr:row>
      <xdr:rowOff>0</xdr:rowOff>
    </xdr:from>
    <xdr:to>
      <xdr:col>16</xdr:col>
      <xdr:colOff>76200</xdr:colOff>
      <xdr:row>0</xdr:row>
      <xdr:rowOff>685800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514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742950</xdr:colOff>
      <xdr:row>3</xdr:row>
      <xdr:rowOff>0</xdr:rowOff>
    </xdr:to>
    <xdr:pic>
      <xdr:nvPicPr>
        <xdr:cNvPr id="2" name="Figura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12</xdr:row>
      <xdr:rowOff>57150</xdr:rowOff>
    </xdr:from>
    <xdr:to>
      <xdr:col>2</xdr:col>
      <xdr:colOff>762000</xdr:colOff>
      <xdr:row>14</xdr:row>
      <xdr:rowOff>57150</xdr:rowOff>
    </xdr:to>
    <xdr:sp macro="[0]!Sumulão2">
      <xdr:nvSpPr>
        <xdr:cNvPr id="1" name="Texto 3"/>
        <xdr:cNvSpPr txBox="1">
          <a:spLocks noChangeArrowheads="1"/>
        </xdr:cNvSpPr>
      </xdr:nvSpPr>
      <xdr:spPr>
        <a:xfrm>
          <a:off x="2800350" y="2857500"/>
          <a:ext cx="1390650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IMPRIMIR SUMULÃO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16</xdr:col>
      <xdr:colOff>123825</xdr:colOff>
      <xdr:row>2</xdr:row>
      <xdr:rowOff>95250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0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0</xdr:rowOff>
    </xdr:from>
    <xdr:to>
      <xdr:col>2</xdr:col>
      <xdr:colOff>866775</xdr:colOff>
      <xdr:row>2</xdr:row>
      <xdr:rowOff>133350</xdr:rowOff>
    </xdr:to>
    <xdr:pic>
      <xdr:nvPicPr>
        <xdr:cNvPr id="2" name="Figura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7</xdr:row>
      <xdr:rowOff>28575</xdr:rowOff>
    </xdr:from>
    <xdr:to>
      <xdr:col>2</xdr:col>
      <xdr:colOff>704850</xdr:colOff>
      <xdr:row>9</xdr:row>
      <xdr:rowOff>57150</xdr:rowOff>
    </xdr:to>
    <xdr:sp macro="[0]!Sumulão3">
      <xdr:nvSpPr>
        <xdr:cNvPr id="1" name="Texto 2"/>
        <xdr:cNvSpPr txBox="1">
          <a:spLocks noChangeArrowheads="1"/>
        </xdr:cNvSpPr>
      </xdr:nvSpPr>
      <xdr:spPr>
        <a:xfrm>
          <a:off x="2647950" y="1495425"/>
          <a:ext cx="14859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IMPRIMIR SUMULÃO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9525</xdr:rowOff>
    </xdr:from>
    <xdr:to>
      <xdr:col>16</xdr:col>
      <xdr:colOff>247650</xdr:colOff>
      <xdr:row>2</xdr:row>
      <xdr:rowOff>104775</xdr:rowOff>
    </xdr:to>
    <xdr:pic>
      <xdr:nvPicPr>
        <xdr:cNvPr id="1" name="Figura 8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9525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2</xdr:col>
      <xdr:colOff>981075</xdr:colOff>
      <xdr:row>2</xdr:row>
      <xdr:rowOff>133350</xdr:rowOff>
    </xdr:to>
    <xdr:pic>
      <xdr:nvPicPr>
        <xdr:cNvPr id="2" name="Figura 80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RowColHeaders="0" zoomScale="95" zoomScaleNormal="95" zoomScalePageLayoutView="0" workbookViewId="0" topLeftCell="A1">
      <selection activeCell="A2" sqref="A2"/>
    </sheetView>
  </sheetViews>
  <sheetFormatPr defaultColWidth="9.140625" defaultRowHeight="12.75"/>
  <cols>
    <col min="1" max="4" width="25.7109375" style="8" customWidth="1"/>
    <col min="5" max="8" width="25.7109375" style="7" customWidth="1"/>
    <col min="9" max="16384" width="9.140625" style="7" customWidth="1"/>
  </cols>
  <sheetData>
    <row r="1" spans="1:4" s="5" customFormat="1" ht="12.75" customHeight="1">
      <c r="A1" s="9" t="s">
        <v>0</v>
      </c>
      <c r="B1" s="10" t="s">
        <v>1</v>
      </c>
      <c r="C1" s="9" t="s">
        <v>2</v>
      </c>
      <c r="D1" s="10" t="s">
        <v>3</v>
      </c>
    </row>
    <row r="2" spans="1:4" ht="12.75" customHeight="1">
      <c r="A2" s="1" t="s">
        <v>4</v>
      </c>
      <c r="B2" s="2" t="s">
        <v>5</v>
      </c>
      <c r="C2" s="2" t="s">
        <v>6</v>
      </c>
      <c r="D2" s="6" t="s">
        <v>7</v>
      </c>
    </row>
    <row r="3" spans="1:4" ht="12.75" customHeight="1">
      <c r="A3" s="2" t="s">
        <v>8</v>
      </c>
      <c r="B3" s="2" t="s">
        <v>9</v>
      </c>
      <c r="C3" s="2" t="s">
        <v>10</v>
      </c>
      <c r="D3" s="2" t="s">
        <v>11</v>
      </c>
    </row>
    <row r="4" spans="1:4" ht="12.75" customHeight="1">
      <c r="A4" s="2" t="s">
        <v>12</v>
      </c>
      <c r="B4" s="2" t="s">
        <v>13</v>
      </c>
      <c r="C4" s="2" t="s">
        <v>14</v>
      </c>
      <c r="D4" s="2" t="s">
        <v>15</v>
      </c>
    </row>
    <row r="5" spans="1:4" ht="12.75" customHeight="1">
      <c r="A5" s="2" t="s">
        <v>16</v>
      </c>
      <c r="B5" s="2" t="s">
        <v>17</v>
      </c>
      <c r="C5" s="3" t="s">
        <v>18</v>
      </c>
      <c r="D5" s="2" t="s">
        <v>19</v>
      </c>
    </row>
    <row r="6" spans="1:4" ht="12.75" customHeight="1">
      <c r="A6" s="63"/>
      <c r="B6" s="63"/>
      <c r="C6" s="63"/>
      <c r="D6" s="63"/>
    </row>
    <row r="7" spans="1:4" s="5" customFormat="1" ht="12.75" customHeight="1">
      <c r="A7" s="9" t="s">
        <v>20</v>
      </c>
      <c r="B7" s="10" t="s">
        <v>21</v>
      </c>
      <c r="C7" s="9" t="s">
        <v>22</v>
      </c>
      <c r="D7" s="10" t="s">
        <v>23</v>
      </c>
    </row>
    <row r="8" spans="1:4" ht="12.75" customHeight="1">
      <c r="A8" s="2" t="s">
        <v>24</v>
      </c>
      <c r="B8" s="2" t="s">
        <v>25</v>
      </c>
      <c r="C8" s="2" t="s">
        <v>26</v>
      </c>
      <c r="D8" s="2" t="s">
        <v>27</v>
      </c>
    </row>
    <row r="9" spans="1:4" ht="12.75" customHeight="1">
      <c r="A9" s="2" t="s">
        <v>28</v>
      </c>
      <c r="B9" s="2" t="s">
        <v>29</v>
      </c>
      <c r="C9" s="2" t="s">
        <v>30</v>
      </c>
      <c r="D9" s="2" t="s">
        <v>31</v>
      </c>
    </row>
    <row r="10" spans="1:4" ht="12.75" customHeight="1">
      <c r="A10" s="2" t="s">
        <v>32</v>
      </c>
      <c r="B10" s="2" t="s">
        <v>33</v>
      </c>
      <c r="C10" s="2" t="s">
        <v>34</v>
      </c>
      <c r="D10" s="2" t="s">
        <v>35</v>
      </c>
    </row>
    <row r="11" spans="1:4" ht="12.75" customHeight="1">
      <c r="A11" s="2" t="s">
        <v>36</v>
      </c>
      <c r="B11" s="2" t="s">
        <v>37</v>
      </c>
      <c r="C11" s="2" t="s">
        <v>38</v>
      </c>
      <c r="D11" s="2" t="s">
        <v>39</v>
      </c>
    </row>
    <row r="12" spans="1:4" ht="12.75" customHeight="1">
      <c r="A12" s="63"/>
      <c r="B12" s="63"/>
      <c r="C12" s="63"/>
      <c r="D12" s="63"/>
    </row>
    <row r="13" spans="1:4" s="5" customFormat="1" ht="12.75" customHeight="1">
      <c r="A13" s="4" t="s">
        <v>40</v>
      </c>
      <c r="B13" s="10" t="s">
        <v>41</v>
      </c>
      <c r="C13" s="9" t="s">
        <v>42</v>
      </c>
      <c r="D13" s="10" t="s">
        <v>43</v>
      </c>
    </row>
    <row r="14" spans="1:4" ht="12.75" customHeight="1">
      <c r="A14" s="2" t="s">
        <v>44</v>
      </c>
      <c r="B14" s="2" t="s">
        <v>45</v>
      </c>
      <c r="C14" s="2" t="s">
        <v>46</v>
      </c>
      <c r="D14" s="2" t="s">
        <v>47</v>
      </c>
    </row>
    <row r="15" spans="1:4" ht="12.75" customHeight="1">
      <c r="A15" s="2" t="s">
        <v>48</v>
      </c>
      <c r="B15" s="2" t="s">
        <v>49</v>
      </c>
      <c r="C15" s="2" t="s">
        <v>50</v>
      </c>
      <c r="D15" s="2" t="s">
        <v>51</v>
      </c>
    </row>
    <row r="16" spans="1:4" ht="12.75" customHeight="1">
      <c r="A16" s="2" t="s">
        <v>52</v>
      </c>
      <c r="B16" s="2" t="s">
        <v>53</v>
      </c>
      <c r="C16" s="2" t="s">
        <v>54</v>
      </c>
      <c r="D16" s="2" t="s">
        <v>55</v>
      </c>
    </row>
    <row r="17" spans="1:4" ht="12.75" customHeight="1">
      <c r="A17" s="2" t="s">
        <v>56</v>
      </c>
      <c r="B17" s="2" t="s">
        <v>57</v>
      </c>
      <c r="C17" s="2" t="s">
        <v>58</v>
      </c>
      <c r="D17" s="2" t="s">
        <v>59</v>
      </c>
    </row>
    <row r="18" spans="1:4" ht="12.75" customHeight="1">
      <c r="A18" s="63"/>
      <c r="B18" s="63"/>
      <c r="C18" s="63"/>
      <c r="D18" s="63"/>
    </row>
    <row r="19" spans="1:4" s="5" customFormat="1" ht="12.75" customHeight="1">
      <c r="A19" s="9" t="s">
        <v>60</v>
      </c>
      <c r="B19" s="10" t="s">
        <v>61</v>
      </c>
      <c r="C19" s="9" t="s">
        <v>62</v>
      </c>
      <c r="D19" s="10" t="s">
        <v>63</v>
      </c>
    </row>
    <row r="20" spans="1:4" ht="12.75" customHeight="1">
      <c r="A20" s="2" t="s">
        <v>64</v>
      </c>
      <c r="B20" s="2" t="s">
        <v>65</v>
      </c>
      <c r="C20" s="2" t="s">
        <v>66</v>
      </c>
      <c r="D20" s="2" t="s">
        <v>67</v>
      </c>
    </row>
    <row r="21" spans="1:4" ht="12.75" customHeight="1">
      <c r="A21" s="2" t="s">
        <v>68</v>
      </c>
      <c r="B21" s="2" t="s">
        <v>69</v>
      </c>
      <c r="C21" s="2" t="s">
        <v>70</v>
      </c>
      <c r="D21" s="2" t="s">
        <v>71</v>
      </c>
    </row>
    <row r="22" spans="1:4" ht="12.75" customHeight="1">
      <c r="A22" s="2" t="s">
        <v>72</v>
      </c>
      <c r="B22" s="2" t="s">
        <v>73</v>
      </c>
      <c r="C22" s="2" t="s">
        <v>74</v>
      </c>
      <c r="D22" s="2" t="s">
        <v>75</v>
      </c>
    </row>
    <row r="23" spans="1:4" ht="12.75" customHeight="1">
      <c r="A23" s="2" t="s">
        <v>76</v>
      </c>
      <c r="B23" s="2" t="s">
        <v>77</v>
      </c>
      <c r="C23" s="2" t="s">
        <v>78</v>
      </c>
      <c r="D23" s="2" t="s">
        <v>79</v>
      </c>
    </row>
  </sheetData>
  <sheetProtection password="EA4E" sheet="1" objects="1" scenarios="1"/>
  <printOptions horizontalCentered="1" verticalCentered="1"/>
  <pageMargins left="1.3779527559055118" right="1.3779527559055118" top="1.5748031496062993" bottom="0.984251968503937" header="0.5511811023622047" footer="0.5118110236220472"/>
  <pageSetup horizontalDpi="300" verticalDpi="300" orientation="landscape" paperSize="9" r:id="rId2"/>
  <headerFooter alignWithMargins="0">
    <oddHeader>&amp;C&amp;"Arial,Negrito"&amp;16CHAVES 1a. FASE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4.8515625" style="0" customWidth="1"/>
  </cols>
  <sheetData>
    <row r="2" ht="12.75">
      <c r="A2" t="s">
        <v>235</v>
      </c>
    </row>
    <row r="4" spans="1:2" ht="12.75">
      <c r="A4" t="s">
        <v>236</v>
      </c>
      <c r="B4">
        <v>3</v>
      </c>
    </row>
    <row r="5" spans="1:2" ht="12.75">
      <c r="A5" t="s">
        <v>237</v>
      </c>
      <c r="B5">
        <v>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1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8515625" style="14" customWidth="1"/>
    <col min="2" max="2" width="3.7109375" style="15" customWidth="1"/>
    <col min="3" max="3" width="15.8515625" style="16" customWidth="1"/>
    <col min="4" max="4" width="3.00390625" style="16" customWidth="1"/>
    <col min="5" max="5" width="3.00390625" style="14" customWidth="1"/>
    <col min="6" max="6" width="15.8515625" style="16" customWidth="1"/>
    <col min="7" max="7" width="15.8515625" style="14" customWidth="1"/>
    <col min="8" max="8" width="0.9921875" style="14" customWidth="1"/>
    <col min="9" max="9" width="10.8515625" style="14" hidden="1" customWidth="1"/>
    <col min="10" max="10" width="9.140625" style="14" hidden="1" customWidth="1"/>
    <col min="11" max="11" width="4.421875" style="14" customWidth="1"/>
    <col min="12" max="12" width="14.00390625" style="14" customWidth="1"/>
    <col min="13" max="13" width="2.28125" style="18" customWidth="1"/>
    <col min="14" max="14" width="2.8515625" style="18" customWidth="1"/>
    <col min="15" max="15" width="2.00390625" style="18" customWidth="1"/>
    <col min="16" max="16" width="2.28125" style="18" customWidth="1"/>
    <col min="17" max="17" width="4.00390625" style="18" customWidth="1"/>
    <col min="18" max="18" width="4.140625" style="18" customWidth="1"/>
    <col min="19" max="19" width="4.00390625" style="18" customWidth="1"/>
    <col min="20" max="20" width="3.8515625" style="18" customWidth="1"/>
    <col min="21" max="21" width="6.28125" style="14" customWidth="1"/>
    <col min="22" max="23" width="9.140625" style="14" hidden="1" customWidth="1"/>
    <col min="24" max="24" width="2.8515625" style="14" hidden="1" customWidth="1"/>
    <col min="25" max="25" width="2.00390625" style="14" hidden="1" customWidth="1"/>
    <col min="26" max="26" width="2.28125" style="14" hidden="1" customWidth="1"/>
    <col min="27" max="27" width="2.140625" style="14" hidden="1" customWidth="1"/>
    <col min="28" max="28" width="2.28125" style="14" hidden="1" customWidth="1"/>
    <col min="29" max="29" width="3.7109375" style="14" hidden="1" customWidth="1"/>
    <col min="30" max="30" width="6.28125" style="14" hidden="1" customWidth="1"/>
    <col min="31" max="71" width="9.140625" style="14" hidden="1" customWidth="1"/>
    <col min="72" max="72" width="0" style="14" hidden="1" customWidth="1"/>
    <col min="73" max="16384" width="9.140625" style="14" customWidth="1"/>
  </cols>
  <sheetData>
    <row r="1" spans="4:11" ht="54.75" customHeight="1">
      <c r="D1" s="17"/>
      <c r="E1" s="75" t="s">
        <v>80</v>
      </c>
      <c r="F1" s="76"/>
      <c r="G1" s="76"/>
      <c r="H1" s="17"/>
      <c r="I1" s="17"/>
      <c r="J1" s="17"/>
      <c r="K1" s="17"/>
    </row>
    <row r="2" spans="12:20" ht="13.5" customHeight="1">
      <c r="L2" s="19" t="s">
        <v>0</v>
      </c>
      <c r="M2" s="20"/>
      <c r="N2" s="20"/>
      <c r="O2" s="20"/>
      <c r="P2" s="20"/>
      <c r="Q2" s="20"/>
      <c r="R2" s="20"/>
      <c r="S2" s="20"/>
      <c r="T2" s="21"/>
    </row>
    <row r="3" spans="9:56" ht="11.25" customHeight="1">
      <c r="I3" s="14" t="s">
        <v>81</v>
      </c>
      <c r="J3" s="14" t="s">
        <v>82</v>
      </c>
      <c r="L3" s="22"/>
      <c r="M3" s="23" t="s">
        <v>83</v>
      </c>
      <c r="N3" s="23" t="s">
        <v>84</v>
      </c>
      <c r="O3" s="23" t="s">
        <v>85</v>
      </c>
      <c r="P3" s="23" t="s">
        <v>86</v>
      </c>
      <c r="Q3" s="23" t="s">
        <v>87</v>
      </c>
      <c r="R3" s="23" t="s">
        <v>88</v>
      </c>
      <c r="S3" s="23" t="s">
        <v>89</v>
      </c>
      <c r="T3" s="24" t="s">
        <v>90</v>
      </c>
      <c r="V3" s="14" t="s">
        <v>91</v>
      </c>
      <c r="AE3" s="14" t="s">
        <v>92</v>
      </c>
      <c r="AG3" s="14" t="s">
        <v>93</v>
      </c>
      <c r="AI3" s="14" t="s">
        <v>94</v>
      </c>
      <c r="AL3" s="14" t="s">
        <v>95</v>
      </c>
      <c r="AO3" s="14" t="s">
        <v>96</v>
      </c>
      <c r="AR3" s="14" t="s">
        <v>97</v>
      </c>
      <c r="AV3" s="14" t="s">
        <v>98</v>
      </c>
      <c r="AZ3" s="14" t="s">
        <v>99</v>
      </c>
      <c r="BD3" s="14" t="s">
        <v>100</v>
      </c>
    </row>
    <row r="4" spans="1:20" ht="15">
      <c r="A4" s="71" t="s">
        <v>101</v>
      </c>
      <c r="B4" s="72"/>
      <c r="C4" s="72"/>
      <c r="D4" s="72"/>
      <c r="E4" s="72"/>
      <c r="F4" s="72"/>
      <c r="G4" s="72"/>
      <c r="H4" s="73"/>
      <c r="L4" s="25" t="str">
        <f aca="true" t="shared" si="0" ref="L4:T7">BK8</f>
        <v>LEÃO</v>
      </c>
      <c r="M4" s="26">
        <f t="shared" si="0"/>
        <v>3</v>
      </c>
      <c r="N4" s="26">
        <f t="shared" si="0"/>
        <v>1</v>
      </c>
      <c r="O4" s="26">
        <f t="shared" si="0"/>
        <v>0</v>
      </c>
      <c r="P4" s="26">
        <f t="shared" si="0"/>
        <v>2</v>
      </c>
      <c r="Q4" s="26">
        <f t="shared" si="0"/>
        <v>2</v>
      </c>
      <c r="R4" s="26">
        <f t="shared" si="0"/>
        <v>1</v>
      </c>
      <c r="S4" s="26">
        <f t="shared" si="0"/>
        <v>1</v>
      </c>
      <c r="T4" s="27">
        <f t="shared" si="0"/>
        <v>5</v>
      </c>
    </row>
    <row r="5" spans="1:20" ht="15">
      <c r="A5" s="28" t="s">
        <v>102</v>
      </c>
      <c r="B5" s="29" t="s">
        <v>103</v>
      </c>
      <c r="C5" s="30"/>
      <c r="D5" s="30"/>
      <c r="E5" s="30"/>
      <c r="F5" s="30"/>
      <c r="G5" s="31" t="s">
        <v>104</v>
      </c>
      <c r="H5" s="32"/>
      <c r="L5" s="25" t="str">
        <f t="shared" si="0"/>
        <v>ROBSON</v>
      </c>
      <c r="M5" s="26">
        <f t="shared" si="0"/>
        <v>3</v>
      </c>
      <c r="N5" s="26">
        <f t="shared" si="0"/>
        <v>1</v>
      </c>
      <c r="O5" s="26">
        <f t="shared" si="0"/>
        <v>0</v>
      </c>
      <c r="P5" s="26">
        <f t="shared" si="0"/>
        <v>2</v>
      </c>
      <c r="Q5" s="26">
        <f t="shared" si="0"/>
        <v>2</v>
      </c>
      <c r="R5" s="26">
        <f t="shared" si="0"/>
        <v>1</v>
      </c>
      <c r="S5" s="26">
        <f t="shared" si="0"/>
        <v>1</v>
      </c>
      <c r="T5" s="27">
        <f t="shared" si="0"/>
        <v>5</v>
      </c>
    </row>
    <row r="6" spans="1:22" ht="15" customHeight="1" thickBot="1">
      <c r="A6" s="74" t="s">
        <v>105</v>
      </c>
      <c r="B6" s="74"/>
      <c r="C6" s="74"/>
      <c r="D6" s="74"/>
      <c r="E6" s="74"/>
      <c r="F6" s="74"/>
      <c r="G6" s="74"/>
      <c r="H6" s="74"/>
      <c r="L6" s="25" t="str">
        <f t="shared" si="0"/>
        <v>DIOGO BRAGA</v>
      </c>
      <c r="M6" s="26">
        <f t="shared" si="0"/>
        <v>3</v>
      </c>
      <c r="N6" s="26">
        <f t="shared" si="0"/>
        <v>0</v>
      </c>
      <c r="O6" s="26">
        <f t="shared" si="0"/>
        <v>1</v>
      </c>
      <c r="P6" s="26">
        <f t="shared" si="0"/>
        <v>2</v>
      </c>
      <c r="Q6" s="26">
        <f t="shared" si="0"/>
        <v>2</v>
      </c>
      <c r="R6" s="26">
        <f t="shared" si="0"/>
        <v>3</v>
      </c>
      <c r="S6" s="26">
        <f t="shared" si="0"/>
        <v>-1</v>
      </c>
      <c r="T6" s="27">
        <f t="shared" si="0"/>
        <v>2</v>
      </c>
      <c r="V6" s="14" t="s">
        <v>106</v>
      </c>
    </row>
    <row r="7" spans="1:71" ht="13.5" customHeight="1" thickBot="1">
      <c r="A7" s="26">
        <v>1</v>
      </c>
      <c r="B7" s="33">
        <v>1</v>
      </c>
      <c r="C7" s="34" t="str">
        <f>'Chaves 1a.Fase'!A2</f>
        <v>PAULO</v>
      </c>
      <c r="D7" s="87">
        <v>0</v>
      </c>
      <c r="E7" s="87">
        <v>0</v>
      </c>
      <c r="F7" s="35" t="str">
        <f>'Chaves 1a.Fase'!A5</f>
        <v>ROBSON</v>
      </c>
      <c r="G7" s="36" t="str">
        <f>'Chaves 1a.Fase'!A14</f>
        <v>JULINHO</v>
      </c>
      <c r="H7" s="26"/>
      <c r="I7" s="14" t="str">
        <f aca="true" t="shared" si="1" ref="I7:I70">IF(D7&lt;&gt;"",IF(D7&gt;E7,C7,IF(E7&gt;D7,F7,"Draw")),"")</f>
        <v>Draw</v>
      </c>
      <c r="J7" s="14" t="str">
        <f aca="true" t="shared" si="2" ref="J7:J70">IF(D7&lt;&gt;"",IF(D7&lt;E7,C7,IF(E7&lt;D7,F7,"Draw")),"")</f>
        <v>Draw</v>
      </c>
      <c r="L7" s="37" t="str">
        <f t="shared" si="0"/>
        <v>PAULO</v>
      </c>
      <c r="M7" s="38">
        <f t="shared" si="0"/>
        <v>3</v>
      </c>
      <c r="N7" s="38">
        <f t="shared" si="0"/>
        <v>0</v>
      </c>
      <c r="O7" s="38">
        <f t="shared" si="0"/>
        <v>1</v>
      </c>
      <c r="P7" s="38">
        <f t="shared" si="0"/>
        <v>2</v>
      </c>
      <c r="Q7" s="38">
        <f t="shared" si="0"/>
        <v>0</v>
      </c>
      <c r="R7" s="38">
        <f t="shared" si="0"/>
        <v>1</v>
      </c>
      <c r="S7" s="38">
        <f t="shared" si="0"/>
        <v>-1</v>
      </c>
      <c r="T7" s="39">
        <f t="shared" si="0"/>
        <v>2</v>
      </c>
      <c r="W7" s="14" t="s">
        <v>107</v>
      </c>
      <c r="X7" s="14" t="s">
        <v>108</v>
      </c>
      <c r="Y7" s="14" t="s">
        <v>109</v>
      </c>
      <c r="Z7" s="14" t="s">
        <v>85</v>
      </c>
      <c r="AA7" s="14" t="s">
        <v>110</v>
      </c>
      <c r="AB7" s="14" t="s">
        <v>111</v>
      </c>
      <c r="AC7" s="14" t="s">
        <v>112</v>
      </c>
      <c r="AD7" s="14" t="s">
        <v>113</v>
      </c>
      <c r="AE7" s="14" t="s">
        <v>114</v>
      </c>
      <c r="AF7" s="14" t="s">
        <v>113</v>
      </c>
      <c r="AG7" s="14" t="s">
        <v>114</v>
      </c>
      <c r="AH7" s="14" t="s">
        <v>113</v>
      </c>
      <c r="AI7" s="14" t="s">
        <v>114</v>
      </c>
      <c r="AJ7" s="14" t="s">
        <v>113</v>
      </c>
      <c r="AK7" s="14" t="s">
        <v>112</v>
      </c>
      <c r="AL7" s="14" t="s">
        <v>114</v>
      </c>
      <c r="AM7" s="14" t="s">
        <v>113</v>
      </c>
      <c r="AN7" s="14" t="s">
        <v>112</v>
      </c>
      <c r="AO7" s="14" t="s">
        <v>114</v>
      </c>
      <c r="AP7" s="14" t="s">
        <v>113</v>
      </c>
      <c r="AQ7" s="14" t="s">
        <v>112</v>
      </c>
      <c r="AR7" s="14" t="s">
        <v>114</v>
      </c>
      <c r="AS7" s="14" t="s">
        <v>113</v>
      </c>
      <c r="AT7" s="14" t="s">
        <v>112</v>
      </c>
      <c r="AU7" s="14" t="s">
        <v>110</v>
      </c>
      <c r="AV7" s="14" t="s">
        <v>114</v>
      </c>
      <c r="AW7" s="14" t="s">
        <v>113</v>
      </c>
      <c r="AX7" s="14" t="s">
        <v>112</v>
      </c>
      <c r="AY7" s="14" t="s">
        <v>110</v>
      </c>
      <c r="AZ7" s="14" t="s">
        <v>114</v>
      </c>
      <c r="BA7" s="14" t="s">
        <v>113</v>
      </c>
      <c r="BB7" s="14" t="s">
        <v>112</v>
      </c>
      <c r="BC7" s="14" t="s">
        <v>110</v>
      </c>
      <c r="BD7" s="14" t="s">
        <v>114</v>
      </c>
      <c r="BE7" s="14" t="s">
        <v>113</v>
      </c>
      <c r="BF7" s="14" t="s">
        <v>112</v>
      </c>
      <c r="BG7" s="14" t="s">
        <v>110</v>
      </c>
      <c r="BL7" s="14" t="s">
        <v>115</v>
      </c>
      <c r="BM7" s="14" t="s">
        <v>108</v>
      </c>
      <c r="BN7" s="14" t="s">
        <v>109</v>
      </c>
      <c r="BO7" s="14" t="s">
        <v>85</v>
      </c>
      <c r="BP7" s="14" t="s">
        <v>110</v>
      </c>
      <c r="BQ7" s="14" t="s">
        <v>111</v>
      </c>
      <c r="BR7" s="14" t="s">
        <v>112</v>
      </c>
      <c r="BS7" s="14" t="s">
        <v>113</v>
      </c>
    </row>
    <row r="8" spans="1:71" ht="13.5" customHeight="1" thickBot="1">
      <c r="A8" s="26">
        <v>1</v>
      </c>
      <c r="B8" s="33">
        <v>2</v>
      </c>
      <c r="C8" s="34" t="str">
        <f>'Chaves 1a.Fase'!A3</f>
        <v>LEÃO</v>
      </c>
      <c r="D8" s="88">
        <v>1</v>
      </c>
      <c r="E8" s="87">
        <v>1</v>
      </c>
      <c r="F8" s="35" t="str">
        <f>'Chaves 1a.Fase'!A4</f>
        <v>DIOGO BRAGA</v>
      </c>
      <c r="G8" s="36" t="str">
        <f>'Chaves 1a.Fase'!A15</f>
        <v>DANI</v>
      </c>
      <c r="H8" s="26"/>
      <c r="I8" s="14" t="str">
        <f t="shared" si="1"/>
        <v>Draw</v>
      </c>
      <c r="J8" s="14" t="str">
        <f t="shared" si="2"/>
        <v>Draw</v>
      </c>
      <c r="V8" s="14" t="str">
        <f>'Chaves 1a.Fase'!A2</f>
        <v>PAULO</v>
      </c>
      <c r="W8" s="14">
        <f>COUNT(CANOAS_JOGOS)</f>
        <v>3</v>
      </c>
      <c r="X8" s="14">
        <f>COUNTIF(Groupstage_Winners,'Chaves 1a.Fase'!A2)</f>
        <v>0</v>
      </c>
      <c r="Y8" s="14">
        <f>COUNTIF(Groupstage_Losers,'Chaves 1a.Fase'!A2)</f>
        <v>1</v>
      </c>
      <c r="Z8" s="14">
        <f>W8-(X8+Y8)</f>
        <v>2</v>
      </c>
      <c r="AA8" s="14">
        <f>SUM(CANOAS_JOGOS)</f>
        <v>0</v>
      </c>
      <c r="AB8" s="14">
        <f>SUM(CANOAS_ADV)</f>
        <v>1</v>
      </c>
      <c r="AC8" s="14">
        <f>AA8-AB8</f>
        <v>-1</v>
      </c>
      <c r="AD8" s="14">
        <f>X8*Winpoints+Z8*Drawpoints</f>
        <v>2</v>
      </c>
      <c r="AE8" s="14" t="str">
        <f>IF($AD8&gt;=$AD9,$V8,$V9)</f>
        <v>LEÃO</v>
      </c>
      <c r="AF8" s="14">
        <f>VLOOKUP($AE8,$V8:$AD11,9,FALSE)</f>
        <v>5</v>
      </c>
      <c r="AG8" s="14" t="str">
        <f>IF($AF8&gt;=$AF10,$AE8,$AE10)</f>
        <v>LEÃO</v>
      </c>
      <c r="AH8" s="14">
        <f>VLOOKUP($AG8,$V8:$AD11,9,FALSE)</f>
        <v>5</v>
      </c>
      <c r="AI8" s="14" t="str">
        <f>IF($AH8&gt;=$AH11,$AG8,$AG11)</f>
        <v>LEÃO</v>
      </c>
      <c r="AJ8" s="14">
        <f>VLOOKUP($AI8,$V8:$AD11,9,FALSE)</f>
        <v>5</v>
      </c>
      <c r="AK8" s="14">
        <f>VLOOKUP($AI8,$V8:$AD11,8,FALSE)</f>
        <v>1</v>
      </c>
      <c r="AL8" s="14" t="str">
        <f>IF(AND($AJ8=$AJ9,$AK9&gt;$AK8),$AI9,$AI8)</f>
        <v>LEÃO</v>
      </c>
      <c r="AM8" s="14">
        <f>VLOOKUP($AL8,$V8:$AD11,9,FALSE)</f>
        <v>5</v>
      </c>
      <c r="AN8" s="14">
        <f>VLOOKUP($AL8,$V8:$AD11,8,FALSE)</f>
        <v>1</v>
      </c>
      <c r="AO8" s="14" t="str">
        <f>IF(AND($AM8=$AM10,$AN10&gt;$AN8),$AL10,$AL8)</f>
        <v>LEÃO</v>
      </c>
      <c r="AP8" s="14">
        <f>VLOOKUP($AO8,$V8:$AD11,9,FALSE)</f>
        <v>5</v>
      </c>
      <c r="AQ8" s="14">
        <f>VLOOKUP($AO8,$V8:$AD11,8,FALSE)</f>
        <v>1</v>
      </c>
      <c r="AR8" s="14" t="str">
        <f>IF(AND($AP8=$AP11,$AQ11&gt;$AQ8),$AO11,$AO8)</f>
        <v>LEÃO</v>
      </c>
      <c r="AS8" s="14">
        <f>VLOOKUP($AR8,$V8:$AD11,9,FALSE)</f>
        <v>5</v>
      </c>
      <c r="AT8" s="14">
        <f>VLOOKUP($AR8,$V8:$AD11,8,FALSE)</f>
        <v>1</v>
      </c>
      <c r="AU8" s="14">
        <f>VLOOKUP($AR8,$V8:$AD11,6,FALSE)</f>
        <v>2</v>
      </c>
      <c r="AV8" s="14" t="str">
        <f>IF(AND($AS8=$AS9,$AT8=$AT9,$AU9&gt;$AU8),$AR9,$AR8)</f>
        <v>LEÃO</v>
      </c>
      <c r="AW8" s="14">
        <f>VLOOKUP($AV8,$V8:$AD11,9,FALSE)</f>
        <v>5</v>
      </c>
      <c r="AX8" s="14">
        <f>VLOOKUP($AV8,$V8:$AD11,8,FALSE)</f>
        <v>1</v>
      </c>
      <c r="AY8" s="14">
        <f>VLOOKUP($AV8,$V8:$AD11,6,FALSE)</f>
        <v>2</v>
      </c>
      <c r="AZ8" s="14" t="str">
        <f>IF(AND($AW8=$AW10,$AX8=$AX10,$AY10&gt;$AY8),$AV10,$AV8)</f>
        <v>LEÃO</v>
      </c>
      <c r="BA8" s="14">
        <f>VLOOKUP($AZ8,$V8:$AD11,9,FALSE)</f>
        <v>5</v>
      </c>
      <c r="BB8" s="14">
        <f>VLOOKUP($AZ8,$V8:$AD11,8,FALSE)</f>
        <v>1</v>
      </c>
      <c r="BC8" s="14">
        <f>VLOOKUP($AZ8,$V8:$AD11,6,FALSE)</f>
        <v>2</v>
      </c>
      <c r="BD8" s="14" t="str">
        <f>IF(AND($BA8=$BA11,$BB8=$BB11,$BC11&gt;$BC8),$AZ11,$AZ8)</f>
        <v>LEÃO</v>
      </c>
      <c r="BE8" s="14">
        <f>VLOOKUP($BD8,$V8:$AD11,9,FALSE)</f>
        <v>5</v>
      </c>
      <c r="BF8" s="14">
        <f>VLOOKUP($BD8,$V8:$AD11,8,FALSE)</f>
        <v>1</v>
      </c>
      <c r="BG8" s="14">
        <f>VLOOKUP($BD8,$V8:$AD11,6,FALSE)</f>
        <v>2</v>
      </c>
      <c r="BK8" s="14" t="str">
        <f>BD8</f>
        <v>LEÃO</v>
      </c>
      <c r="BL8" s="14">
        <f>VLOOKUP($BK8,$V8:$AD11,2,FALSE)</f>
        <v>3</v>
      </c>
      <c r="BM8" s="14">
        <f>VLOOKUP($BK8,$V8:$AD11,3,FALSE)</f>
        <v>1</v>
      </c>
      <c r="BN8" s="14">
        <f>VLOOKUP($BK8,$V8:$AD11,4,FALSE)</f>
        <v>0</v>
      </c>
      <c r="BO8" s="14">
        <f>VLOOKUP($BK8,$V8:$AD11,5,FALSE)</f>
        <v>2</v>
      </c>
      <c r="BP8" s="14">
        <f>VLOOKUP($BK8,$V8:$AD11,6,FALSE)</f>
        <v>2</v>
      </c>
      <c r="BQ8" s="14">
        <f>VLOOKUP($BK8,$V8:$AD11,7,FALSE)</f>
        <v>1</v>
      </c>
      <c r="BR8" s="14">
        <f>VLOOKUP($BK8,$V8:$AD11,8,FALSE)</f>
        <v>1</v>
      </c>
      <c r="BS8" s="14">
        <f>VLOOKUP($BK8,$V8:$AD11,9,FALSE)</f>
        <v>5</v>
      </c>
    </row>
    <row r="9" spans="1:71" ht="13.5" customHeight="1" thickBot="1">
      <c r="A9" s="26">
        <v>2</v>
      </c>
      <c r="B9" s="33">
        <v>3</v>
      </c>
      <c r="C9" s="34" t="str">
        <f>'Chaves 1a.Fase'!B2</f>
        <v>CHRISTIAN</v>
      </c>
      <c r="D9" s="88">
        <v>0</v>
      </c>
      <c r="E9" s="87">
        <v>0</v>
      </c>
      <c r="F9" s="35" t="str">
        <f>'Chaves 1a.Fase'!B5</f>
        <v>BETÃO</v>
      </c>
      <c r="G9" s="36" t="str">
        <f>'Chaves 1a.Fase'!A16</f>
        <v>JONI</v>
      </c>
      <c r="H9" s="26"/>
      <c r="I9" s="14" t="str">
        <f t="shared" si="1"/>
        <v>Draw</v>
      </c>
      <c r="J9" s="14" t="str">
        <f t="shared" si="2"/>
        <v>Draw</v>
      </c>
      <c r="L9" s="19" t="s">
        <v>1</v>
      </c>
      <c r="M9" s="20"/>
      <c r="N9" s="20"/>
      <c r="O9" s="20"/>
      <c r="P9" s="20"/>
      <c r="Q9" s="20"/>
      <c r="R9" s="20"/>
      <c r="S9" s="20"/>
      <c r="T9" s="21"/>
      <c r="V9" s="14" t="str">
        <f>'Chaves 1a.Fase'!A3</f>
        <v>LEÃO</v>
      </c>
      <c r="W9" s="14">
        <f>COUNT(PORTÃO_JOGOS)</f>
        <v>3</v>
      </c>
      <c r="X9" s="14">
        <f>COUNTIF(Groupstage_Winners,'Chaves 1a.Fase'!A3)</f>
        <v>1</v>
      </c>
      <c r="Y9" s="14">
        <f>COUNTIF(Groupstage_Losers,'Chaves 1a.Fase'!A3)</f>
        <v>0</v>
      </c>
      <c r="Z9" s="14">
        <f>W9-(X9+Y9)</f>
        <v>2</v>
      </c>
      <c r="AA9" s="14">
        <f>SUM(PORTÃO_JOGOS)</f>
        <v>2</v>
      </c>
      <c r="AB9" s="14">
        <f>SUM(PORTÃO_ADV)</f>
        <v>1</v>
      </c>
      <c r="AC9" s="14">
        <f>AA9-AB9</f>
        <v>1</v>
      </c>
      <c r="AD9" s="14">
        <f>X9*Winpoints+Z9*Drawpoints</f>
        <v>5</v>
      </c>
      <c r="AE9" s="14" t="str">
        <f>IF($AD9&lt;=$AD8,$V9,$V8)</f>
        <v>PAULO</v>
      </c>
      <c r="AF9" s="14">
        <f>VLOOKUP($AE9,$V8:$AD11,9,FALSE)</f>
        <v>2</v>
      </c>
      <c r="AG9" s="14" t="str">
        <f>IF(AF9&gt;=AF11,AE9,AE11)</f>
        <v>PAULO</v>
      </c>
      <c r="AH9" s="14">
        <f>VLOOKUP($AG9,$V8:$AD11,9,FALSE)</f>
        <v>2</v>
      </c>
      <c r="AI9" s="14" t="str">
        <f>IF($AH9&gt;=$AH10,$AG9,$AG10)</f>
        <v>ROBSON</v>
      </c>
      <c r="AJ9" s="14">
        <f>VLOOKUP($AI9,$V8:$AD11,9,FALSE)</f>
        <v>5</v>
      </c>
      <c r="AK9" s="14">
        <f>VLOOKUP($AI9,$V8:$AD11,8,FALSE)</f>
        <v>1</v>
      </c>
      <c r="AL9" s="14" t="str">
        <f>IF(AND($AJ8=$AJ9,$AK9&gt;$AK8),$AI8,$AI9)</f>
        <v>ROBSON</v>
      </c>
      <c r="AM9" s="14">
        <f>VLOOKUP($AL9,$V8:$AD11,9,FALSE)</f>
        <v>5</v>
      </c>
      <c r="AN9" s="14">
        <f>VLOOKUP($AL9,$V8:$AD11,8,FALSE)</f>
        <v>1</v>
      </c>
      <c r="AO9" s="14" t="str">
        <f>IF(AND($AM9=$AM11,$AN11&gt;$AN9),$AL11,$AL9)</f>
        <v>ROBSON</v>
      </c>
      <c r="AP9" s="14">
        <f>VLOOKUP($AO9,$V8:$AD11,9,FALSE)</f>
        <v>5</v>
      </c>
      <c r="AQ9" s="14">
        <f>VLOOKUP($AO9,$V8:$AD11,8,FALSE)</f>
        <v>1</v>
      </c>
      <c r="AR9" s="14" t="str">
        <f>IF(AND($AP9=$AP10,$AQ10&gt;$AQ9),$AO10,$AO9)</f>
        <v>ROBSON</v>
      </c>
      <c r="AS9" s="14">
        <f>VLOOKUP($AR9,$V8:$AD11,9,FALSE)</f>
        <v>5</v>
      </c>
      <c r="AT9" s="14">
        <f>VLOOKUP($AR9,$V8:$AD11,8,FALSE)</f>
        <v>1</v>
      </c>
      <c r="AU9" s="14">
        <f>VLOOKUP($AR9,$V8:$AD11,6,FALSE)</f>
        <v>2</v>
      </c>
      <c r="AV9" s="14" t="str">
        <f>IF(AND($AS8=$AS9,$AT8=$AT9,$AU9&gt;$AU8),$AR8,$AR9)</f>
        <v>ROBSON</v>
      </c>
      <c r="AW9" s="14">
        <f>VLOOKUP($AV9,$V8:$AD11,9,FALSE)</f>
        <v>5</v>
      </c>
      <c r="AX9" s="14">
        <f>VLOOKUP($AV9,$V8:$AD11,8,FALSE)</f>
        <v>1</v>
      </c>
      <c r="AY9" s="14">
        <f>VLOOKUP($AV9,$V8:$AD11,6,FALSE)</f>
        <v>2</v>
      </c>
      <c r="AZ9" s="14" t="str">
        <f>IF(AND($AW9=$AW11,$AX9=$AX11,$AY11&gt;$AY9),$AV11,$AV9)</f>
        <v>ROBSON</v>
      </c>
      <c r="BA9" s="14">
        <f>VLOOKUP($AZ9,$V8:$AD11,9,FALSE)</f>
        <v>5</v>
      </c>
      <c r="BB9" s="14">
        <f>VLOOKUP($AZ9,$V8:$AD11,8,FALSE)</f>
        <v>1</v>
      </c>
      <c r="BC9" s="14">
        <f>VLOOKUP($AZ9,$V8:$AD11,6,FALSE)</f>
        <v>2</v>
      </c>
      <c r="BD9" s="14" t="str">
        <f>IF(AND($BA9=$BA10,$BB9=$BB10,$BC10&gt;$BC9),$AZ10,$AZ9)</f>
        <v>ROBSON</v>
      </c>
      <c r="BE9" s="14">
        <f>VLOOKUP($BD9,$V8:$AD11,9,FALSE)</f>
        <v>5</v>
      </c>
      <c r="BF9" s="14">
        <f>VLOOKUP($BD9,$V8:$AD11,8,FALSE)</f>
        <v>1</v>
      </c>
      <c r="BG9" s="14">
        <f>VLOOKUP($BD9,$V8:$AD11,6,FALSE)</f>
        <v>2</v>
      </c>
      <c r="BK9" s="14" t="str">
        <f>BD9</f>
        <v>ROBSON</v>
      </c>
      <c r="BL9" s="14">
        <f>VLOOKUP($BK9,$V8:$AD11,2,FALSE)</f>
        <v>3</v>
      </c>
      <c r="BM9" s="14">
        <f>VLOOKUP($BK9,$V8:$AD11,3,FALSE)</f>
        <v>1</v>
      </c>
      <c r="BN9" s="14">
        <f>VLOOKUP($BK9,$V8:$AD11,4,FALSE)</f>
        <v>0</v>
      </c>
      <c r="BO9" s="14">
        <f>VLOOKUP($BK9,$V8:$AD11,5,FALSE)</f>
        <v>2</v>
      </c>
      <c r="BP9" s="14">
        <f>VLOOKUP($BK9,$V8:$AD11,6,FALSE)</f>
        <v>2</v>
      </c>
      <c r="BQ9" s="14">
        <f>VLOOKUP($BK9,$V8:$AD11,7,FALSE)</f>
        <v>1</v>
      </c>
      <c r="BR9" s="14">
        <f>VLOOKUP($BK9,$V8:$AD11,8,FALSE)</f>
        <v>1</v>
      </c>
      <c r="BS9" s="14">
        <f>VLOOKUP($BK9,$V8:$AD11,9,FALSE)</f>
        <v>5</v>
      </c>
    </row>
    <row r="10" spans="1:71" ht="13.5" customHeight="1" thickBot="1">
      <c r="A10" s="26">
        <v>2</v>
      </c>
      <c r="B10" s="33">
        <v>4</v>
      </c>
      <c r="C10" s="34" t="str">
        <f>'Chaves 1a.Fase'!B3</f>
        <v>ELIAS</v>
      </c>
      <c r="D10" s="88">
        <v>0</v>
      </c>
      <c r="E10" s="87">
        <v>0</v>
      </c>
      <c r="F10" s="35" t="str">
        <f>'Chaves 1a.Fase'!B4</f>
        <v>ALDYR</v>
      </c>
      <c r="G10" s="36" t="str">
        <f>'Chaves 1a.Fase'!A17</f>
        <v>OCHOINHA</v>
      </c>
      <c r="H10" s="26"/>
      <c r="I10" s="14" t="str">
        <f t="shared" si="1"/>
        <v>Draw</v>
      </c>
      <c r="J10" s="14" t="str">
        <f t="shared" si="2"/>
        <v>Draw</v>
      </c>
      <c r="L10" s="22"/>
      <c r="M10" s="23" t="s">
        <v>83</v>
      </c>
      <c r="N10" s="23" t="s">
        <v>84</v>
      </c>
      <c r="O10" s="23" t="s">
        <v>85</v>
      </c>
      <c r="P10" s="23" t="s">
        <v>86</v>
      </c>
      <c r="Q10" s="23" t="s">
        <v>87</v>
      </c>
      <c r="R10" s="23" t="s">
        <v>88</v>
      </c>
      <c r="S10" s="23" t="s">
        <v>89</v>
      </c>
      <c r="T10" s="24" t="s">
        <v>90</v>
      </c>
      <c r="V10" s="14" t="str">
        <f>'Chaves 1a.Fase'!A4</f>
        <v>DIOGO BRAGA</v>
      </c>
      <c r="W10" s="14">
        <f>COUNT(VIAMÃO_JOGOS)</f>
        <v>3</v>
      </c>
      <c r="X10" s="14">
        <f>COUNTIF(Groupstage_Winners,'Chaves 1a.Fase'!A4)</f>
        <v>0</v>
      </c>
      <c r="Y10" s="14">
        <f>COUNTIF(Groupstage_Losers,'Chaves 1a.Fase'!A4)</f>
        <v>1</v>
      </c>
      <c r="Z10" s="14">
        <f>W10-(X10+Y10)</f>
        <v>2</v>
      </c>
      <c r="AA10" s="14">
        <f>SUM(VIAMÃO_JOGOS)</f>
        <v>2</v>
      </c>
      <c r="AB10" s="14">
        <f>SUM(VIAMÃO_ADV)</f>
        <v>3</v>
      </c>
      <c r="AC10" s="14">
        <f>AA10-AB10</f>
        <v>-1</v>
      </c>
      <c r="AD10" s="14">
        <f>X10*Winpoints+Z10*Drawpoints</f>
        <v>2</v>
      </c>
      <c r="AE10" s="14" t="str">
        <f>IF($AD10&gt;=$AD11,$V10,$V11)</f>
        <v>ROBSON</v>
      </c>
      <c r="AF10" s="14">
        <f>VLOOKUP($AE10,$V8:$AD11,9,FALSE)</f>
        <v>5</v>
      </c>
      <c r="AG10" s="14" t="str">
        <f>IF($AF10&lt;=$AF8,$AE10,$AE8)</f>
        <v>ROBSON</v>
      </c>
      <c r="AH10" s="14">
        <f>VLOOKUP($AG10,$V8:$AD11,9,FALSE)</f>
        <v>5</v>
      </c>
      <c r="AI10" s="14" t="str">
        <f>IF($AH10&lt;=$AH9,$AG10,$AG9)</f>
        <v>PAULO</v>
      </c>
      <c r="AJ10" s="14">
        <f>VLOOKUP($AI10,$V8:$AD11,9,FALSE)</f>
        <v>2</v>
      </c>
      <c r="AK10" s="14">
        <f>VLOOKUP($AI10,$V8:$AD11,8,FALSE)</f>
        <v>-1</v>
      </c>
      <c r="AL10" s="14" t="str">
        <f>IF(AND($AJ10=$AJ11,$AK11&gt;$AK10),$AI11,$AI10)</f>
        <v>PAULO</v>
      </c>
      <c r="AM10" s="14">
        <f>VLOOKUP($AL10,$V8:$AD11,9,FALSE)</f>
        <v>2</v>
      </c>
      <c r="AN10" s="14">
        <f>VLOOKUP($AL10,$V8:$AD11,8,FALSE)</f>
        <v>-1</v>
      </c>
      <c r="AO10" s="14" t="str">
        <f>IF(AND($AM8=$AM10,$AN10&gt;$AN8),$AL8,$AL10)</f>
        <v>PAULO</v>
      </c>
      <c r="AP10" s="14">
        <f>VLOOKUP($AO10,$V8:$AD11,9,FALSE)</f>
        <v>2</v>
      </c>
      <c r="AQ10" s="14">
        <f>VLOOKUP($AO10,$V8:$AD11,8,FALSE)</f>
        <v>-1</v>
      </c>
      <c r="AR10" s="14" t="str">
        <f>IF(AND($AP9=$AP10,$AQ10&gt;$AQ9),$AO9,$AO10)</f>
        <v>PAULO</v>
      </c>
      <c r="AS10" s="14">
        <f>VLOOKUP($AR10,$V8:$AD11,9,FALSE)</f>
        <v>2</v>
      </c>
      <c r="AT10" s="14">
        <f>VLOOKUP($AR10,$V8:$AD11,8,FALSE)</f>
        <v>-1</v>
      </c>
      <c r="AU10" s="14">
        <f>VLOOKUP($AR10,$V8:$AD11,6,FALSE)</f>
        <v>0</v>
      </c>
      <c r="AV10" s="14" t="str">
        <f>IF(AND($AS10=$AS11,$AT10=$AT11,$AU11&gt;$AU10),$AR11,$AR10)</f>
        <v>DIOGO BRAGA</v>
      </c>
      <c r="AW10" s="14">
        <f>VLOOKUP($AV10,$V8:$AD11,9,FALSE)</f>
        <v>2</v>
      </c>
      <c r="AX10" s="14">
        <f>VLOOKUP($AV10,$V8:$AD11,8,FALSE)</f>
        <v>-1</v>
      </c>
      <c r="AY10" s="14">
        <f>VLOOKUP($AV10,$V8:$AD11,6,FALSE)</f>
        <v>2</v>
      </c>
      <c r="AZ10" s="14" t="str">
        <f>IF(AND($AW8=$AW10,$AX8=$AX10,$AY10&gt;$AY8),$AV8,$AV10)</f>
        <v>DIOGO BRAGA</v>
      </c>
      <c r="BA10" s="14">
        <f>VLOOKUP($AZ10,$V8:$AD11,9,FALSE)</f>
        <v>2</v>
      </c>
      <c r="BB10" s="14">
        <f>VLOOKUP($AZ10,$V8:$AD11,8,FALSE)</f>
        <v>-1</v>
      </c>
      <c r="BC10" s="14">
        <f>VLOOKUP($AZ10,$V8:$AD11,6,FALSE)</f>
        <v>2</v>
      </c>
      <c r="BD10" s="14" t="str">
        <f>IF(AND($BA9=$BA10,$BB9=$BB10,$BC10&gt;$BC9),$AZ9,$AZ10)</f>
        <v>DIOGO BRAGA</v>
      </c>
      <c r="BE10" s="14">
        <f>VLOOKUP($BD10,$V8:$AD11,9,FALSE)</f>
        <v>2</v>
      </c>
      <c r="BF10" s="14">
        <f>VLOOKUP($BD10,$V8:$AD11,8,FALSE)</f>
        <v>-1</v>
      </c>
      <c r="BG10" s="14">
        <f>VLOOKUP($BD10,$V8:$AD11,6,FALSE)</f>
        <v>2</v>
      </c>
      <c r="BK10" s="14" t="str">
        <f>BD10</f>
        <v>DIOGO BRAGA</v>
      </c>
      <c r="BL10" s="14">
        <f>VLOOKUP($BK10,$V8:$AD11,2,FALSE)</f>
        <v>3</v>
      </c>
      <c r="BM10" s="14">
        <f>VLOOKUP($BK10,$V8:$AD11,3,FALSE)</f>
        <v>0</v>
      </c>
      <c r="BN10" s="14">
        <f>VLOOKUP($BK10,$V8:$AD11,4,FALSE)</f>
        <v>1</v>
      </c>
      <c r="BO10" s="14">
        <f>VLOOKUP($BK10,$V8:$AD11,5,FALSE)</f>
        <v>2</v>
      </c>
      <c r="BP10" s="14">
        <f>VLOOKUP($BK10,$V8:$AD11,6,FALSE)</f>
        <v>2</v>
      </c>
      <c r="BQ10" s="14">
        <f>VLOOKUP($BK10,$V8:$AD11,7,FALSE)</f>
        <v>3</v>
      </c>
      <c r="BR10" s="14">
        <f>VLOOKUP($BK10,$V8:$AD11,8,FALSE)</f>
        <v>-1</v>
      </c>
      <c r="BS10" s="14">
        <f>VLOOKUP($BK10,$V8:$AD11,9,FALSE)</f>
        <v>2</v>
      </c>
    </row>
    <row r="11" spans="1:71" ht="13.5" customHeight="1" thickBot="1">
      <c r="A11" s="26">
        <v>3</v>
      </c>
      <c r="B11" s="33">
        <v>5</v>
      </c>
      <c r="C11" s="34" t="str">
        <f>'Chaves 1a.Fase'!C2</f>
        <v>RODRIGO B.</v>
      </c>
      <c r="D11" s="87">
        <v>3</v>
      </c>
      <c r="E11" s="87">
        <v>0</v>
      </c>
      <c r="F11" s="35" t="str">
        <f>'Chaves 1a.Fase'!C5</f>
        <v>CAJU</v>
      </c>
      <c r="G11" s="36" t="str">
        <f>'Chaves 1a.Fase'!B14</f>
        <v>KEVIN</v>
      </c>
      <c r="H11" s="26"/>
      <c r="I11" s="14" t="str">
        <f t="shared" si="1"/>
        <v>RODRIGO B.</v>
      </c>
      <c r="J11" s="14" t="str">
        <f t="shared" si="2"/>
        <v>CAJU</v>
      </c>
      <c r="L11" s="25" t="str">
        <f aca="true" t="shared" si="3" ref="L11:T14">BK15</f>
        <v>ELIAS</v>
      </c>
      <c r="M11" s="26">
        <f t="shared" si="3"/>
        <v>3</v>
      </c>
      <c r="N11" s="26">
        <f t="shared" si="3"/>
        <v>2</v>
      </c>
      <c r="O11" s="26">
        <f t="shared" si="3"/>
        <v>0</v>
      </c>
      <c r="P11" s="26">
        <f t="shared" si="3"/>
        <v>1</v>
      </c>
      <c r="Q11" s="26">
        <f t="shared" si="3"/>
        <v>2</v>
      </c>
      <c r="R11" s="26">
        <f t="shared" si="3"/>
        <v>0</v>
      </c>
      <c r="S11" s="26">
        <f t="shared" si="3"/>
        <v>2</v>
      </c>
      <c r="T11" s="27">
        <f t="shared" si="3"/>
        <v>7</v>
      </c>
      <c r="V11" s="14" t="str">
        <f>'Chaves 1a.Fase'!A5</f>
        <v>ROBSON</v>
      </c>
      <c r="W11" s="14">
        <f>COUNT(BENTO_JOGOS)</f>
        <v>3</v>
      </c>
      <c r="X11" s="14">
        <f>COUNTIF(Groupstage_Winners,'Chaves 1a.Fase'!A5)</f>
        <v>1</v>
      </c>
      <c r="Y11" s="14">
        <f>COUNTIF(Groupstage_Losers,'Chaves 1a.Fase'!A5)</f>
        <v>0</v>
      </c>
      <c r="Z11" s="14">
        <f>W11-(X11+Y11)</f>
        <v>2</v>
      </c>
      <c r="AA11" s="14">
        <f>SUM(BENTO_JOGOS)</f>
        <v>2</v>
      </c>
      <c r="AB11" s="14">
        <f>SUM(BENTO_ADV)</f>
        <v>1</v>
      </c>
      <c r="AC11" s="14">
        <f>AA11-AB11</f>
        <v>1</v>
      </c>
      <c r="AD11" s="14">
        <f>X11*Winpoints+Z11*Drawpoints</f>
        <v>5</v>
      </c>
      <c r="AE11" s="14" t="str">
        <f>IF($AD11&lt;=$AD10,$V11,$V10)</f>
        <v>DIOGO BRAGA</v>
      </c>
      <c r="AF11" s="14">
        <f>VLOOKUP($AE11,$V8:$AD11,9,FALSE)</f>
        <v>2</v>
      </c>
      <c r="AG11" s="14" t="str">
        <f>IF(AF11&lt;=AF9,AE11,AE9)</f>
        <v>DIOGO BRAGA</v>
      </c>
      <c r="AH11" s="14">
        <f>VLOOKUP($AG11,$V8:$AD11,9,FALSE)</f>
        <v>2</v>
      </c>
      <c r="AI11" s="14" t="str">
        <f>IF($AH11&lt;=$AH8,$AG11,$AG8)</f>
        <v>DIOGO BRAGA</v>
      </c>
      <c r="AJ11" s="14">
        <f>VLOOKUP($AI11,$V8:$AD11,9,FALSE)</f>
        <v>2</v>
      </c>
      <c r="AK11" s="14">
        <f>VLOOKUP($AI11,$V8:$AD11,8,FALSE)</f>
        <v>-1</v>
      </c>
      <c r="AL11" s="14" t="str">
        <f>IF(AND($AJ10=$AJ11,$AK11&gt;$AK10),$AI10,$AI11)</f>
        <v>DIOGO BRAGA</v>
      </c>
      <c r="AM11" s="14">
        <f>VLOOKUP($AL11,$V8:$AD11,9,FALSE)</f>
        <v>2</v>
      </c>
      <c r="AN11" s="14">
        <f>VLOOKUP($AL11,$V8:$AD11,8,FALSE)</f>
        <v>-1</v>
      </c>
      <c r="AO11" s="14" t="str">
        <f>IF(AND($AM9=$AM11,$AN11&gt;$AN9),$AL9,$AL11)</f>
        <v>DIOGO BRAGA</v>
      </c>
      <c r="AP11" s="14">
        <f>VLOOKUP($AO11,$V8:$AD11,9,FALSE)</f>
        <v>2</v>
      </c>
      <c r="AQ11" s="14">
        <f>VLOOKUP($AO11,$V8:$AD11,8,FALSE)</f>
        <v>-1</v>
      </c>
      <c r="AR11" s="14" t="str">
        <f>IF(AND($AP8=$AP11,$AQ11&gt;$AQ8),$AO8,$AO11)</f>
        <v>DIOGO BRAGA</v>
      </c>
      <c r="AS11" s="14">
        <f>VLOOKUP($AR11,$V8:$AD11,9,FALSE)</f>
        <v>2</v>
      </c>
      <c r="AT11" s="14">
        <f>VLOOKUP($AR11,$V8:$AD11,8,FALSE)</f>
        <v>-1</v>
      </c>
      <c r="AU11" s="14">
        <f>VLOOKUP($AR11,$V8:$AD11,6,FALSE)</f>
        <v>2</v>
      </c>
      <c r="AV11" s="14" t="str">
        <f>IF(AND($AS10=$AS11,$AT10=$AT11,$AU11&gt;$AU10),$AR10,$AR11)</f>
        <v>PAULO</v>
      </c>
      <c r="AW11" s="14">
        <f>VLOOKUP($AV11,$V8:$AD11,9,FALSE)</f>
        <v>2</v>
      </c>
      <c r="AX11" s="14">
        <f>VLOOKUP($AV11,$V8:$AD11,8,FALSE)</f>
        <v>-1</v>
      </c>
      <c r="AY11" s="14">
        <f>VLOOKUP($AV11,$V8:$AD11,6,FALSE)</f>
        <v>0</v>
      </c>
      <c r="AZ11" s="14" t="str">
        <f>IF(AND($AW9=$AW11,$AX9=$AX11,$AY11&gt;$AY9),$AV9,$AV11)</f>
        <v>PAULO</v>
      </c>
      <c r="BA11" s="14">
        <f>VLOOKUP($AZ11,$V8:$AD11,9,FALSE)</f>
        <v>2</v>
      </c>
      <c r="BB11" s="14">
        <f>VLOOKUP($AZ11,$V8:$AD11,8,FALSE)</f>
        <v>-1</v>
      </c>
      <c r="BC11" s="14">
        <f>VLOOKUP($AZ11,$V8:$AD11,6,FALSE)</f>
        <v>0</v>
      </c>
      <c r="BD11" s="14" t="str">
        <f>IF(AND($BA8=$BA11,$BB8=$BB11,$BC11&gt;$BC8),$AZ8,$AZ11)</f>
        <v>PAULO</v>
      </c>
      <c r="BE11" s="14">
        <f>VLOOKUP($BD11,$V8:$AD11,9,FALSE)</f>
        <v>2</v>
      </c>
      <c r="BF11" s="14">
        <f>VLOOKUP($BD11,$V8:$AD11,8,FALSE)</f>
        <v>-1</v>
      </c>
      <c r="BG11" s="14">
        <f>VLOOKUP($BD11,$V8:$AD11,6,FALSE)</f>
        <v>0</v>
      </c>
      <c r="BK11" s="14" t="str">
        <f>BD11</f>
        <v>PAULO</v>
      </c>
      <c r="BL11" s="14">
        <f>VLOOKUP($BK11,$V8:$AD11,2,FALSE)</f>
        <v>3</v>
      </c>
      <c r="BM11" s="14">
        <f>VLOOKUP($BK11,$V8:$AD11,3,FALSE)</f>
        <v>0</v>
      </c>
      <c r="BN11" s="14">
        <f>VLOOKUP($BK11,$V8:$AD11,4,FALSE)</f>
        <v>1</v>
      </c>
      <c r="BO11" s="14">
        <f>VLOOKUP($BK11,$V8:$AD11,5,FALSE)</f>
        <v>2</v>
      </c>
      <c r="BP11" s="14">
        <f>VLOOKUP($BK11,$V8:$AD11,6,FALSE)</f>
        <v>0</v>
      </c>
      <c r="BQ11" s="14">
        <f>VLOOKUP($BK11,$V8:$AD11,7,FALSE)</f>
        <v>1</v>
      </c>
      <c r="BR11" s="14">
        <f>VLOOKUP($BK11,$V8:$AD11,8,FALSE)</f>
        <v>-1</v>
      </c>
      <c r="BS11" s="14">
        <f>VLOOKUP($BK11,$V8:$AD11,9,FALSE)</f>
        <v>2</v>
      </c>
    </row>
    <row r="12" spans="1:20" ht="13.5" customHeight="1" thickBot="1">
      <c r="A12" s="40">
        <v>3</v>
      </c>
      <c r="B12" s="41">
        <v>6</v>
      </c>
      <c r="C12" s="42" t="str">
        <f>'Chaves 1a.Fase'!C3</f>
        <v>ANTONIO</v>
      </c>
      <c r="D12" s="89">
        <v>0</v>
      </c>
      <c r="E12" s="89">
        <v>1</v>
      </c>
      <c r="F12" s="43" t="str">
        <f>'Chaves 1a.Fase'!C4</f>
        <v>ZILBER</v>
      </c>
      <c r="G12" s="43" t="str">
        <f>'Chaves 1a.Fase'!B15</f>
        <v>RENAN</v>
      </c>
      <c r="H12" s="40"/>
      <c r="I12" s="14" t="str">
        <f t="shared" si="1"/>
        <v>ZILBER</v>
      </c>
      <c r="J12" s="14" t="str">
        <f t="shared" si="2"/>
        <v>ANTONIO</v>
      </c>
      <c r="L12" s="25" t="str">
        <f t="shared" si="3"/>
        <v>ALDYR</v>
      </c>
      <c r="M12" s="26">
        <f t="shared" si="3"/>
        <v>3</v>
      </c>
      <c r="N12" s="26">
        <f t="shared" si="3"/>
        <v>0</v>
      </c>
      <c r="O12" s="26">
        <f t="shared" si="3"/>
        <v>0</v>
      </c>
      <c r="P12" s="26">
        <f t="shared" si="3"/>
        <v>3</v>
      </c>
      <c r="Q12" s="26">
        <f t="shared" si="3"/>
        <v>0</v>
      </c>
      <c r="R12" s="26">
        <f t="shared" si="3"/>
        <v>0</v>
      </c>
      <c r="S12" s="26">
        <f t="shared" si="3"/>
        <v>0</v>
      </c>
      <c r="T12" s="27">
        <f t="shared" si="3"/>
        <v>3</v>
      </c>
    </row>
    <row r="13" spans="1:22" ht="13.5" customHeight="1" thickBot="1">
      <c r="A13" s="26">
        <v>4</v>
      </c>
      <c r="B13" s="33">
        <v>7</v>
      </c>
      <c r="C13" s="34" t="str">
        <f>'Chaves 1a.Fase'!D2</f>
        <v>LUCIANO</v>
      </c>
      <c r="D13" s="88">
        <v>0</v>
      </c>
      <c r="E13" s="87">
        <v>1</v>
      </c>
      <c r="F13" s="35" t="str">
        <f>'Chaves 1a.Fase'!D5</f>
        <v>JULIO</v>
      </c>
      <c r="G13" s="36" t="str">
        <f>'Chaves 1a.Fase'!B16</f>
        <v>FELIPE</v>
      </c>
      <c r="H13" s="26"/>
      <c r="I13" s="14" t="str">
        <f t="shared" si="1"/>
        <v>JULIO</v>
      </c>
      <c r="J13" s="14" t="str">
        <f t="shared" si="2"/>
        <v>LUCIANO</v>
      </c>
      <c r="L13" s="25" t="str">
        <f t="shared" si="3"/>
        <v>CHRISTIAN</v>
      </c>
      <c r="M13" s="26">
        <f t="shared" si="3"/>
        <v>3</v>
      </c>
      <c r="N13" s="26">
        <f t="shared" si="3"/>
        <v>0</v>
      </c>
      <c r="O13" s="26">
        <f t="shared" si="3"/>
        <v>1</v>
      </c>
      <c r="P13" s="26">
        <f t="shared" si="3"/>
        <v>2</v>
      </c>
      <c r="Q13" s="26">
        <f t="shared" si="3"/>
        <v>0</v>
      </c>
      <c r="R13" s="26">
        <f t="shared" si="3"/>
        <v>1</v>
      </c>
      <c r="S13" s="26">
        <f t="shared" si="3"/>
        <v>-1</v>
      </c>
      <c r="T13" s="27">
        <f t="shared" si="3"/>
        <v>2</v>
      </c>
      <c r="V13" s="14" t="s">
        <v>116</v>
      </c>
    </row>
    <row r="14" spans="1:30" ht="13.5" customHeight="1" thickBot="1">
      <c r="A14" s="26">
        <v>4</v>
      </c>
      <c r="B14" s="33">
        <v>8</v>
      </c>
      <c r="C14" s="34" t="str">
        <f>'Chaves 1a.Fase'!D3</f>
        <v>EMERSON</v>
      </c>
      <c r="D14" s="88">
        <v>0</v>
      </c>
      <c r="E14" s="87">
        <v>0</v>
      </c>
      <c r="F14" s="35" t="str">
        <f>'Chaves 1a.Fase'!D4</f>
        <v>PAIM</v>
      </c>
      <c r="G14" s="36" t="str">
        <f>'Chaves 1a.Fase'!B17</f>
        <v>OSMAR</v>
      </c>
      <c r="H14" s="26"/>
      <c r="I14" s="14" t="str">
        <f t="shared" si="1"/>
        <v>Draw</v>
      </c>
      <c r="J14" s="14" t="str">
        <f t="shared" si="2"/>
        <v>Draw</v>
      </c>
      <c r="L14" s="37" t="str">
        <f t="shared" si="3"/>
        <v>BETÃO</v>
      </c>
      <c r="M14" s="38">
        <f t="shared" si="3"/>
        <v>3</v>
      </c>
      <c r="N14" s="38">
        <f t="shared" si="3"/>
        <v>0</v>
      </c>
      <c r="O14" s="38">
        <f t="shared" si="3"/>
        <v>1</v>
      </c>
      <c r="P14" s="38">
        <f t="shared" si="3"/>
        <v>2</v>
      </c>
      <c r="Q14" s="38">
        <f t="shared" si="3"/>
        <v>0</v>
      </c>
      <c r="R14" s="38">
        <f t="shared" si="3"/>
        <v>1</v>
      </c>
      <c r="S14" s="38">
        <f t="shared" si="3"/>
        <v>-1</v>
      </c>
      <c r="T14" s="39">
        <f t="shared" si="3"/>
        <v>2</v>
      </c>
      <c r="W14" s="14" t="s">
        <v>107</v>
      </c>
      <c r="X14" s="14" t="s">
        <v>108</v>
      </c>
      <c r="Y14" s="14" t="s">
        <v>109</v>
      </c>
      <c r="Z14" s="14" t="s">
        <v>85</v>
      </c>
      <c r="AA14" s="14" t="s">
        <v>110</v>
      </c>
      <c r="AB14" s="14" t="s">
        <v>111</v>
      </c>
      <c r="AC14" s="14" t="s">
        <v>112</v>
      </c>
      <c r="AD14" s="14" t="s">
        <v>113</v>
      </c>
    </row>
    <row r="15" spans="1:71" ht="13.5" customHeight="1" thickBot="1">
      <c r="A15" s="26">
        <v>5</v>
      </c>
      <c r="B15" s="33">
        <v>9</v>
      </c>
      <c r="C15" s="34" t="str">
        <f>'Chaves 1a.Fase'!A8</f>
        <v>MARCOS JUNQ.</v>
      </c>
      <c r="D15" s="88">
        <v>0</v>
      </c>
      <c r="E15" s="87">
        <v>3</v>
      </c>
      <c r="F15" s="35" t="str">
        <f>'Chaves 1a.Fase'!A11</f>
        <v>UMBERTO</v>
      </c>
      <c r="G15" s="36" t="str">
        <f>'Chaves 1a.Fase'!C14</f>
        <v>JOÃO GARIMA</v>
      </c>
      <c r="H15" s="26"/>
      <c r="I15" s="14" t="str">
        <f t="shared" si="1"/>
        <v>UMBERTO</v>
      </c>
      <c r="J15" s="14" t="str">
        <f t="shared" si="2"/>
        <v>MARCOS JUNQ.</v>
      </c>
      <c r="V15" s="14" t="str">
        <f>'Chaves 1a.Fase'!B2</f>
        <v>CHRISTIAN</v>
      </c>
      <c r="W15" s="14">
        <f>COUNT(GUAIBA_JOGOS)</f>
        <v>3</v>
      </c>
      <c r="X15" s="14">
        <f>COUNTIF(Groupstage_Winners,'Chaves 1a.Fase'!B2)</f>
        <v>0</v>
      </c>
      <c r="Y15" s="14">
        <f>COUNTIF(Groupstage_Losers,'Chaves 1a.Fase'!B2)</f>
        <v>1</v>
      </c>
      <c r="Z15" s="14">
        <f>W15-(X15+Y15)</f>
        <v>2</v>
      </c>
      <c r="AA15" s="14">
        <f>SUM(GUAIBA_JOGOS)</f>
        <v>0</v>
      </c>
      <c r="AB15" s="14">
        <f>SUM(GUAIBA_ADV)</f>
        <v>1</v>
      </c>
      <c r="AC15" s="14">
        <f>AA15-AB15</f>
        <v>-1</v>
      </c>
      <c r="AD15" s="14">
        <f>X15*Winpoints+Z15*Drawpoints</f>
        <v>2</v>
      </c>
      <c r="AE15" s="14" t="str">
        <f>IF($AD15&gt;=$AD16,$V15,$V16)</f>
        <v>ELIAS</v>
      </c>
      <c r="AF15" s="14">
        <f>VLOOKUP($AE15,$V15:$AD18,9,FALSE)</f>
        <v>7</v>
      </c>
      <c r="AG15" s="14" t="str">
        <f>IF($AF15&gt;=$AF17,$AE15,$AE17)</f>
        <v>ELIAS</v>
      </c>
      <c r="AH15" s="14">
        <f>VLOOKUP($AG15,$V15:$AD18,9,FALSE)</f>
        <v>7</v>
      </c>
      <c r="AI15" s="14" t="str">
        <f>IF($AH15&gt;=$AH18,$AG15,$AG18)</f>
        <v>ELIAS</v>
      </c>
      <c r="AJ15" s="14">
        <f>VLOOKUP($AI15,$V15:$AD18,9,FALSE)</f>
        <v>7</v>
      </c>
      <c r="AK15" s="14">
        <f>VLOOKUP($AI15,$V15:$AD18,8,FALSE)</f>
        <v>2</v>
      </c>
      <c r="AL15" s="14" t="str">
        <f>IF(AND($AJ15=$AJ16,$AK16&gt;$AK15),$AI16,$AI15)</f>
        <v>ELIAS</v>
      </c>
      <c r="AM15" s="14">
        <f>VLOOKUP($AL15,$V15:$AD18,9,FALSE)</f>
        <v>7</v>
      </c>
      <c r="AN15" s="14">
        <f>VLOOKUP($AL15,$V15:$AD18,8,FALSE)</f>
        <v>2</v>
      </c>
      <c r="AO15" s="14" t="str">
        <f>IF(AND($AM15=$AM17,$AN17&gt;$AN15),$AL17,$AL15)</f>
        <v>ELIAS</v>
      </c>
      <c r="AP15" s="14">
        <f>VLOOKUP($AO15,$V15:$AD18,9,FALSE)</f>
        <v>7</v>
      </c>
      <c r="AQ15" s="14">
        <f>VLOOKUP($AO15,$V15:$AD18,8,FALSE)</f>
        <v>2</v>
      </c>
      <c r="AR15" s="14" t="str">
        <f>IF(AND($AP15=$AP18,$AQ18&gt;$AQ15),$AO18,$AO15)</f>
        <v>ELIAS</v>
      </c>
      <c r="AS15" s="14">
        <f>VLOOKUP($AR15,$V15:$AD18,9,FALSE)</f>
        <v>7</v>
      </c>
      <c r="AT15" s="14">
        <f>VLOOKUP($AR15,$V15:$AD18,8,FALSE)</f>
        <v>2</v>
      </c>
      <c r="AU15" s="14">
        <f>VLOOKUP($AR15,$V15:$AD18,6,FALSE)</f>
        <v>2</v>
      </c>
      <c r="AV15" s="14" t="str">
        <f>IF(AND($AS15=$AS16,$AT15=$AT16,$AU16&gt;$AU15),$AR16,$AR15)</f>
        <v>ELIAS</v>
      </c>
      <c r="AW15" s="14">
        <f>VLOOKUP($AV15,$V15:$AD18,9,FALSE)</f>
        <v>7</v>
      </c>
      <c r="AX15" s="14">
        <f>VLOOKUP($AV15,$V15:$AD18,8,FALSE)</f>
        <v>2</v>
      </c>
      <c r="AY15" s="14">
        <f>VLOOKUP($AV15,$V15:$AD18,6,FALSE)</f>
        <v>2</v>
      </c>
      <c r="AZ15" s="14" t="str">
        <f>IF(AND($AW15=$AW17,$AX15=$AX17,$AY17&gt;$AY15),$AV17,$AV15)</f>
        <v>ELIAS</v>
      </c>
      <c r="BA15" s="14">
        <f>VLOOKUP($AZ15,$V15:$AD18,9,FALSE)</f>
        <v>7</v>
      </c>
      <c r="BB15" s="14">
        <f>VLOOKUP($AZ15,$V15:$AD18,8,FALSE)</f>
        <v>2</v>
      </c>
      <c r="BC15" s="14">
        <f>VLOOKUP($AZ15,$V15:$AD18,6,FALSE)</f>
        <v>2</v>
      </c>
      <c r="BD15" s="14" t="str">
        <f>IF(AND($BA15=$BA18,$BB15=$BB18,$BC18&gt;$BC15),$AZ18,$AZ15)</f>
        <v>ELIAS</v>
      </c>
      <c r="BE15" s="14">
        <f>VLOOKUP($BD15,$V15:$AD18,9,FALSE)</f>
        <v>7</v>
      </c>
      <c r="BF15" s="14">
        <f>VLOOKUP($BD15,$V15:$AD18,8,FALSE)</f>
        <v>2</v>
      </c>
      <c r="BG15" s="14">
        <f>VLOOKUP($BD15,$V15:$AD18,6,FALSE)</f>
        <v>2</v>
      </c>
      <c r="BK15" s="14" t="str">
        <f>BD15</f>
        <v>ELIAS</v>
      </c>
      <c r="BL15" s="14">
        <f>VLOOKUP($BK15,$V15:$AD18,2,FALSE)</f>
        <v>3</v>
      </c>
      <c r="BM15" s="14">
        <f>VLOOKUP($BK15,$V15:$AD18,3,FALSE)</f>
        <v>2</v>
      </c>
      <c r="BN15" s="14">
        <f>VLOOKUP($BK15,$V15:$AD18,4,FALSE)</f>
        <v>0</v>
      </c>
      <c r="BO15" s="14">
        <f>VLOOKUP($BK15,$V15:$AD18,5,FALSE)</f>
        <v>1</v>
      </c>
      <c r="BP15" s="14">
        <f>VLOOKUP($BK15,$V15:$AD18,6,FALSE)</f>
        <v>2</v>
      </c>
      <c r="BQ15" s="14">
        <f>VLOOKUP($BK15,$V15:$AD18,7,FALSE)</f>
        <v>0</v>
      </c>
      <c r="BR15" s="14">
        <f>VLOOKUP($BK15,$V15:$AD18,8,FALSE)</f>
        <v>2</v>
      </c>
      <c r="BS15" s="14">
        <f>VLOOKUP($BK15,$V15:$AD18,9,FALSE)</f>
        <v>7</v>
      </c>
    </row>
    <row r="16" spans="1:71" ht="13.5" customHeight="1" thickBot="1">
      <c r="A16" s="26">
        <v>5</v>
      </c>
      <c r="B16" s="33">
        <v>10</v>
      </c>
      <c r="C16" s="34" t="str">
        <f>'Chaves 1a.Fase'!A9</f>
        <v>MICHEL</v>
      </c>
      <c r="D16" s="88">
        <v>1</v>
      </c>
      <c r="E16" s="87">
        <v>0</v>
      </c>
      <c r="F16" s="35" t="str">
        <f>'Chaves 1a.Fase'!A10</f>
        <v>DIOGO MALLET</v>
      </c>
      <c r="G16" s="36" t="str">
        <f>'Chaves 1a.Fase'!C15</f>
        <v>EVERTON</v>
      </c>
      <c r="H16" s="26"/>
      <c r="I16" s="14" t="str">
        <f t="shared" si="1"/>
        <v>MICHEL</v>
      </c>
      <c r="J16" s="14" t="str">
        <f t="shared" si="2"/>
        <v>DIOGO MALLET</v>
      </c>
      <c r="L16" s="19" t="s">
        <v>2</v>
      </c>
      <c r="M16" s="20"/>
      <c r="N16" s="20"/>
      <c r="O16" s="20"/>
      <c r="P16" s="20"/>
      <c r="Q16" s="20"/>
      <c r="R16" s="20"/>
      <c r="S16" s="20"/>
      <c r="T16" s="21"/>
      <c r="V16" s="14" t="str">
        <f>'Chaves 1a.Fase'!B3</f>
        <v>ELIAS</v>
      </c>
      <c r="W16" s="14">
        <f>COUNT(TAPES_JOGOS)</f>
        <v>3</v>
      </c>
      <c r="X16" s="14">
        <f>COUNTIF(Groupstage_Winners,'Chaves 1a.Fase'!B3)</f>
        <v>2</v>
      </c>
      <c r="Y16" s="14">
        <f>COUNTIF(Groupstage_Losers,'Chaves 1a.Fase'!B3)</f>
        <v>0</v>
      </c>
      <c r="Z16" s="14">
        <f>W16-(X16+Y16)</f>
        <v>1</v>
      </c>
      <c r="AA16" s="14">
        <f>SUM(TAPES_JOGOS)</f>
        <v>2</v>
      </c>
      <c r="AB16" s="14">
        <f>SUM(TAPES_ADV)</f>
        <v>0</v>
      </c>
      <c r="AC16" s="14">
        <f>AA16-AB16</f>
        <v>2</v>
      </c>
      <c r="AD16" s="14">
        <f>X16*Winpoints+Z16*Drawpoints</f>
        <v>7</v>
      </c>
      <c r="AE16" s="14" t="str">
        <f>IF($AD16&lt;=$AD15,$V16,$V15)</f>
        <v>CHRISTIAN</v>
      </c>
      <c r="AF16" s="14">
        <f>VLOOKUP($AE16,$V15:$AD18,9,FALSE)</f>
        <v>2</v>
      </c>
      <c r="AG16" s="14" t="str">
        <f>IF(AF16&gt;=AF18,AE16,AE18)</f>
        <v>CHRISTIAN</v>
      </c>
      <c r="AH16" s="14">
        <f>VLOOKUP($AG16,$V15:$AD18,9,FALSE)</f>
        <v>2</v>
      </c>
      <c r="AI16" s="14" t="str">
        <f>IF($AH16&gt;=$AH17,$AG16,$AG17)</f>
        <v>ALDYR</v>
      </c>
      <c r="AJ16" s="14">
        <f>VLOOKUP($AI16,$V15:$AD18,9,FALSE)</f>
        <v>3</v>
      </c>
      <c r="AK16" s="14">
        <f>VLOOKUP($AI16,$V15:$AD18,8,FALSE)</f>
        <v>0</v>
      </c>
      <c r="AL16" s="14" t="str">
        <f>IF(AND($AJ15=$AJ16,$AK16&gt;$AK15),$AI15,$AI16)</f>
        <v>ALDYR</v>
      </c>
      <c r="AM16" s="14">
        <f>VLOOKUP($AL16,$V15:$AD18,9,FALSE)</f>
        <v>3</v>
      </c>
      <c r="AN16" s="14">
        <f>VLOOKUP($AL16,$V15:$AD18,8,FALSE)</f>
        <v>0</v>
      </c>
      <c r="AO16" s="14" t="str">
        <f>IF(AND($AM16=$AM18,$AN18&gt;$AN16),$AL18,$AL16)</f>
        <v>ALDYR</v>
      </c>
      <c r="AP16" s="14">
        <f>VLOOKUP($AO16,$V15:$AD18,9,FALSE)</f>
        <v>3</v>
      </c>
      <c r="AQ16" s="14">
        <f>VLOOKUP($AO16,$V15:$AD18,8,FALSE)</f>
        <v>0</v>
      </c>
      <c r="AR16" s="14" t="str">
        <f>IF(AND($AP16=$AP17,$AQ17&gt;$AQ16),$AO17,$AO16)</f>
        <v>ALDYR</v>
      </c>
      <c r="AS16" s="14">
        <f>VLOOKUP($AR16,$V15:$AD18,9,FALSE)</f>
        <v>3</v>
      </c>
      <c r="AT16" s="14">
        <f>VLOOKUP($AR16,$V15:$AD18,8,FALSE)</f>
        <v>0</v>
      </c>
      <c r="AU16" s="14">
        <f>VLOOKUP($AR16,$V15:$AD18,6,FALSE)</f>
        <v>0</v>
      </c>
      <c r="AV16" s="14" t="str">
        <f>IF(AND($AS15=$AS16,$AT15=$AT16,$AU16&gt;$AU15),$AR15,$AR16)</f>
        <v>ALDYR</v>
      </c>
      <c r="AW16" s="14">
        <f>VLOOKUP($AV16,$V15:$AD18,9,FALSE)</f>
        <v>3</v>
      </c>
      <c r="AX16" s="14">
        <f>VLOOKUP($AV16,$V15:$AD18,8,FALSE)</f>
        <v>0</v>
      </c>
      <c r="AY16" s="14">
        <f>VLOOKUP($AV16,$V15:$AD18,6,FALSE)</f>
        <v>0</v>
      </c>
      <c r="AZ16" s="14" t="str">
        <f>IF(AND($AW16=$AW18,$AX16=$AX18,$AY18&gt;$AY16),$AV18,$AV16)</f>
        <v>ALDYR</v>
      </c>
      <c r="BA16" s="14">
        <f>VLOOKUP($AZ16,$V15:$AD18,9,FALSE)</f>
        <v>3</v>
      </c>
      <c r="BB16" s="14">
        <f>VLOOKUP($AZ16,$V15:$AD18,8,FALSE)</f>
        <v>0</v>
      </c>
      <c r="BC16" s="14">
        <f>VLOOKUP($AZ16,$V15:$AD18,6,FALSE)</f>
        <v>0</v>
      </c>
      <c r="BD16" s="14" t="str">
        <f>IF(AND($BA16=$BA17,$BB16=$BB17,$BC17&gt;$BC16),$AZ17,$AZ16)</f>
        <v>ALDYR</v>
      </c>
      <c r="BE16" s="14">
        <f>VLOOKUP($BD16,$V15:$AD18,9,FALSE)</f>
        <v>3</v>
      </c>
      <c r="BF16" s="14">
        <f>VLOOKUP($BD16,$V15:$AD18,8,FALSE)</f>
        <v>0</v>
      </c>
      <c r="BG16" s="14">
        <f>VLOOKUP($BD16,$V15:$AD18,6,FALSE)</f>
        <v>0</v>
      </c>
      <c r="BK16" s="14" t="str">
        <f>BD16</f>
        <v>ALDYR</v>
      </c>
      <c r="BL16" s="14">
        <f>VLOOKUP($BK16,$V15:$AD18,2,FALSE)</f>
        <v>3</v>
      </c>
      <c r="BM16" s="14">
        <f>VLOOKUP($BK16,$V15:$AD18,3,FALSE)</f>
        <v>0</v>
      </c>
      <c r="BN16" s="14">
        <f>VLOOKUP($BK16,$V15:$AD18,4,FALSE)</f>
        <v>0</v>
      </c>
      <c r="BO16" s="14">
        <f>VLOOKUP($BK16,$V15:$AD18,5,FALSE)</f>
        <v>3</v>
      </c>
      <c r="BP16" s="14">
        <f>VLOOKUP($BK16,$V15:$AD18,6,FALSE)</f>
        <v>0</v>
      </c>
      <c r="BQ16" s="14">
        <f>VLOOKUP($BK16,$V15:$AD18,7,FALSE)</f>
        <v>0</v>
      </c>
      <c r="BR16" s="14">
        <f>VLOOKUP($BK16,$V15:$AD18,8,FALSE)</f>
        <v>0</v>
      </c>
      <c r="BS16" s="14">
        <f>VLOOKUP($BK16,$V15:$AD18,9,FALSE)</f>
        <v>3</v>
      </c>
    </row>
    <row r="17" spans="1:71" ht="13.5" customHeight="1" thickBot="1">
      <c r="A17" s="26">
        <v>6</v>
      </c>
      <c r="B17" s="33">
        <v>11</v>
      </c>
      <c r="C17" s="34" t="str">
        <f>'Chaves 1a.Fase'!B8</f>
        <v>FERNANDO</v>
      </c>
      <c r="D17" s="88">
        <v>0</v>
      </c>
      <c r="E17" s="87">
        <v>0</v>
      </c>
      <c r="F17" s="35" t="str">
        <f>'Chaves 1a.Fase'!B11</f>
        <v>NILMAR</v>
      </c>
      <c r="G17" s="36" t="str">
        <f>'Chaves 1a.Fase'!C16</f>
        <v>PUFAL</v>
      </c>
      <c r="H17" s="26"/>
      <c r="I17" s="14" t="str">
        <f t="shared" si="1"/>
        <v>Draw</v>
      </c>
      <c r="J17" s="14" t="str">
        <f t="shared" si="2"/>
        <v>Draw</v>
      </c>
      <c r="L17" s="22"/>
      <c r="M17" s="23" t="s">
        <v>83</v>
      </c>
      <c r="N17" s="23" t="s">
        <v>84</v>
      </c>
      <c r="O17" s="23" t="s">
        <v>85</v>
      </c>
      <c r="P17" s="23" t="s">
        <v>86</v>
      </c>
      <c r="Q17" s="23" t="s">
        <v>87</v>
      </c>
      <c r="R17" s="23" t="s">
        <v>88</v>
      </c>
      <c r="S17" s="23" t="s">
        <v>89</v>
      </c>
      <c r="T17" s="24" t="s">
        <v>90</v>
      </c>
      <c r="V17" s="14" t="str">
        <f>'Chaves 1a.Fase'!B4</f>
        <v>ALDYR</v>
      </c>
      <c r="W17" s="14">
        <f>COUNT(PELOTAS_JOGOS)</f>
        <v>3</v>
      </c>
      <c r="X17" s="14">
        <f>COUNTIF(Groupstage_Winners,'Chaves 1a.Fase'!B4)</f>
        <v>0</v>
      </c>
      <c r="Y17" s="14">
        <f>COUNTIF(Groupstage_Losers,'Chaves 1a.Fase'!B4)</f>
        <v>0</v>
      </c>
      <c r="Z17" s="14">
        <f>W17-(X17+Y17)</f>
        <v>3</v>
      </c>
      <c r="AA17" s="14">
        <f>SUM(PELOTAS_JOGOS)</f>
        <v>0</v>
      </c>
      <c r="AB17" s="14">
        <f>SUM(PELOTAS_ADV)</f>
        <v>0</v>
      </c>
      <c r="AC17" s="14">
        <f>AA17-AB17</f>
        <v>0</v>
      </c>
      <c r="AD17" s="14">
        <f>X17*Winpoints+Z17*Drawpoints</f>
        <v>3</v>
      </c>
      <c r="AE17" s="14" t="str">
        <f>IF($AD17&gt;=$AD18,$V17,$V18)</f>
        <v>ALDYR</v>
      </c>
      <c r="AF17" s="14">
        <f>VLOOKUP($AE17,$V15:$AD18,9,FALSE)</f>
        <v>3</v>
      </c>
      <c r="AG17" s="14" t="str">
        <f>IF($AF17&lt;=$AF15,$AE17,$AE15)</f>
        <v>ALDYR</v>
      </c>
      <c r="AH17" s="14">
        <f>VLOOKUP($AG17,$V15:$AD18,9,FALSE)</f>
        <v>3</v>
      </c>
      <c r="AI17" s="14" t="str">
        <f>IF($AH17&lt;=$AH16,$AG17,$AG16)</f>
        <v>CHRISTIAN</v>
      </c>
      <c r="AJ17" s="14">
        <f>VLOOKUP($AI17,$V15:$AD18,9,FALSE)</f>
        <v>2</v>
      </c>
      <c r="AK17" s="14">
        <f>VLOOKUP($AI17,$V15:$AD18,8,FALSE)</f>
        <v>-1</v>
      </c>
      <c r="AL17" s="14" t="str">
        <f>IF(AND($AJ17=$AJ18,$AK18&gt;$AK17),$AI18,$AI17)</f>
        <v>CHRISTIAN</v>
      </c>
      <c r="AM17" s="14">
        <f>VLOOKUP($AL17,$V15:$AD18,9,FALSE)</f>
        <v>2</v>
      </c>
      <c r="AN17" s="14">
        <f>VLOOKUP($AL17,$V15:$AD18,8,FALSE)</f>
        <v>-1</v>
      </c>
      <c r="AO17" s="14" t="str">
        <f>IF(AND($AM15=$AM17,$AN17&gt;$AN15),$AL15,$AL17)</f>
        <v>CHRISTIAN</v>
      </c>
      <c r="AP17" s="14">
        <f>VLOOKUP($AO17,$V15:$AD18,9,FALSE)</f>
        <v>2</v>
      </c>
      <c r="AQ17" s="14">
        <f>VLOOKUP($AO17,$V15:$AD18,8,FALSE)</f>
        <v>-1</v>
      </c>
      <c r="AR17" s="14" t="str">
        <f>IF(AND($AP16=$AP17,$AQ17&gt;$AQ16),$AO16,$AO17)</f>
        <v>CHRISTIAN</v>
      </c>
      <c r="AS17" s="14">
        <f>VLOOKUP($AR17,$V15:$AD18,9,FALSE)</f>
        <v>2</v>
      </c>
      <c r="AT17" s="14">
        <f>VLOOKUP($AR17,$V15:$AD18,8,FALSE)</f>
        <v>-1</v>
      </c>
      <c r="AU17" s="14">
        <f>VLOOKUP($AR17,$V15:$AD18,6,FALSE)</f>
        <v>0</v>
      </c>
      <c r="AV17" s="14" t="str">
        <f>IF(AND($AS17=$AS18,$AT17=$AT18,$AU18&gt;$AU17),$AR18,$AR17)</f>
        <v>CHRISTIAN</v>
      </c>
      <c r="AW17" s="14">
        <f>VLOOKUP($AV17,$V15:$AD18,9,FALSE)</f>
        <v>2</v>
      </c>
      <c r="AX17" s="14">
        <f>VLOOKUP($AV17,$V15:$AD18,8,FALSE)</f>
        <v>-1</v>
      </c>
      <c r="AY17" s="14">
        <f>VLOOKUP($AV17,$V15:$AD18,6,FALSE)</f>
        <v>0</v>
      </c>
      <c r="AZ17" s="14" t="str">
        <f>IF(AND($AW15=$AW17,$AX15=$AX17,$AY17&gt;$AY15),$AV15,$AV17)</f>
        <v>CHRISTIAN</v>
      </c>
      <c r="BA17" s="14">
        <f>VLOOKUP($AZ17,$V15:$AD18,9,FALSE)</f>
        <v>2</v>
      </c>
      <c r="BB17" s="14">
        <f>VLOOKUP($AZ17,$V15:$AD18,8,FALSE)</f>
        <v>-1</v>
      </c>
      <c r="BC17" s="14">
        <f>VLOOKUP($AZ17,$V15:$AD18,6,FALSE)</f>
        <v>0</v>
      </c>
      <c r="BD17" s="14" t="str">
        <f>IF(AND($BA16=$BA17,$BB16=$BB17,$BC17&gt;$BC16),$AZ16,$AZ17)</f>
        <v>CHRISTIAN</v>
      </c>
      <c r="BE17" s="14">
        <f>VLOOKUP($BD17,$V15:$AD18,9,FALSE)</f>
        <v>2</v>
      </c>
      <c r="BF17" s="14">
        <f>VLOOKUP($BD17,$V15:$AD18,8,FALSE)</f>
        <v>-1</v>
      </c>
      <c r="BG17" s="14">
        <f>VLOOKUP($BD17,$V15:$AD18,6,FALSE)</f>
        <v>0</v>
      </c>
      <c r="BK17" s="14" t="str">
        <f>BD17</f>
        <v>CHRISTIAN</v>
      </c>
      <c r="BL17" s="14">
        <f>VLOOKUP($BK17,$V15:$AD18,2,FALSE)</f>
        <v>3</v>
      </c>
      <c r="BM17" s="14">
        <f>VLOOKUP($BK17,$V15:$AD18,3,FALSE)</f>
        <v>0</v>
      </c>
      <c r="BN17" s="14">
        <f>VLOOKUP($BK17,$V15:$AD18,4,FALSE)</f>
        <v>1</v>
      </c>
      <c r="BO17" s="14">
        <f>VLOOKUP($BK17,$V15:$AD18,5,FALSE)</f>
        <v>2</v>
      </c>
      <c r="BP17" s="14">
        <f>VLOOKUP($BK17,$V15:$AD18,6,FALSE)</f>
        <v>0</v>
      </c>
      <c r="BQ17" s="14">
        <f>VLOOKUP($BK17,$V15:$AD18,7,FALSE)</f>
        <v>1</v>
      </c>
      <c r="BR17" s="14">
        <f>VLOOKUP($BK17,$V15:$AD18,8,FALSE)</f>
        <v>-1</v>
      </c>
      <c r="BS17" s="14">
        <f>VLOOKUP($BK17,$V15:$AD18,9,FALSE)</f>
        <v>2</v>
      </c>
    </row>
    <row r="18" spans="1:71" ht="13.5" customHeight="1" thickBot="1">
      <c r="A18" s="44">
        <v>6</v>
      </c>
      <c r="B18" s="45">
        <v>12</v>
      </c>
      <c r="C18" s="34" t="str">
        <f>'Chaves 1a.Fase'!B9</f>
        <v>AUGUSTO</v>
      </c>
      <c r="D18" s="88">
        <v>0</v>
      </c>
      <c r="E18" s="88">
        <v>1</v>
      </c>
      <c r="F18" s="35" t="str">
        <f>'Chaves 1a.Fase'!B10</f>
        <v>SILVIO</v>
      </c>
      <c r="G18" s="35" t="str">
        <f>'Chaves 1a.Fase'!C17</f>
        <v>ROGÉRIO FEIJÓ</v>
      </c>
      <c r="H18" s="44"/>
      <c r="I18" s="14" t="str">
        <f t="shared" si="1"/>
        <v>SILVIO</v>
      </c>
      <c r="J18" s="14" t="str">
        <f t="shared" si="2"/>
        <v>AUGUSTO</v>
      </c>
      <c r="L18" s="25" t="str">
        <f aca="true" t="shared" si="4" ref="L18:T21">BK22</f>
        <v>RODRIGO B.</v>
      </c>
      <c r="M18" s="26">
        <f t="shared" si="4"/>
        <v>3</v>
      </c>
      <c r="N18" s="26">
        <f t="shared" si="4"/>
        <v>1</v>
      </c>
      <c r="O18" s="26">
        <f t="shared" si="4"/>
        <v>0</v>
      </c>
      <c r="P18" s="26">
        <f t="shared" si="4"/>
        <v>2</v>
      </c>
      <c r="Q18" s="26">
        <f t="shared" si="4"/>
        <v>4</v>
      </c>
      <c r="R18" s="26">
        <f t="shared" si="4"/>
        <v>1</v>
      </c>
      <c r="S18" s="26">
        <f t="shared" si="4"/>
        <v>3</v>
      </c>
      <c r="T18" s="27">
        <f t="shared" si="4"/>
        <v>5</v>
      </c>
      <c r="V18" s="14" t="str">
        <f>'Chaves 1a.Fase'!B5</f>
        <v>BETÃO</v>
      </c>
      <c r="W18" s="14">
        <f>COUNT(CHUI_JOGOS)</f>
        <v>3</v>
      </c>
      <c r="X18" s="14">
        <f>COUNTIF(Groupstage_Winners,'Chaves 1a.Fase'!B5)</f>
        <v>0</v>
      </c>
      <c r="Y18" s="14">
        <f>COUNTIF(Groupstage_Losers,'Chaves 1a.Fase'!B5)</f>
        <v>1</v>
      </c>
      <c r="Z18" s="14">
        <f>W18-(X18+Y18)</f>
        <v>2</v>
      </c>
      <c r="AA18" s="14">
        <f>SUM(CHUI_JOGOS)</f>
        <v>0</v>
      </c>
      <c r="AB18" s="14">
        <f>SUM(CHUI_ADV)</f>
        <v>1</v>
      </c>
      <c r="AC18" s="14">
        <f>AA18-AB18</f>
        <v>-1</v>
      </c>
      <c r="AD18" s="14">
        <f>X18*Winpoints+Z18*Drawpoints</f>
        <v>2</v>
      </c>
      <c r="AE18" s="14" t="str">
        <f>IF($AD18&lt;=$AD17,$V18,$V17)</f>
        <v>BETÃO</v>
      </c>
      <c r="AF18" s="14">
        <f>VLOOKUP($AE18,$V15:$AD18,9,FALSE)</f>
        <v>2</v>
      </c>
      <c r="AG18" s="14" t="str">
        <f>IF(AF18&lt;=AF16,AE18,AE16)</f>
        <v>BETÃO</v>
      </c>
      <c r="AH18" s="14">
        <f>VLOOKUP($AG18,$V15:$AD18,9,FALSE)</f>
        <v>2</v>
      </c>
      <c r="AI18" s="14" t="str">
        <f>IF($AH18&lt;=$AH15,$AG18,$AG15)</f>
        <v>BETÃO</v>
      </c>
      <c r="AJ18" s="14">
        <f>VLOOKUP($AI18,$V15:$AD18,9,FALSE)</f>
        <v>2</v>
      </c>
      <c r="AK18" s="14">
        <f>VLOOKUP($AI18,$V15:$AD18,8,FALSE)</f>
        <v>-1</v>
      </c>
      <c r="AL18" s="14" t="str">
        <f>IF(AND($AJ17=$AJ18,$AK18&gt;$AK17),$AI17,$AI18)</f>
        <v>BETÃO</v>
      </c>
      <c r="AM18" s="14">
        <f>VLOOKUP($AL18,$V15:$AD18,9,FALSE)</f>
        <v>2</v>
      </c>
      <c r="AN18" s="14">
        <f>VLOOKUP($AL18,$V15:$AD18,8,FALSE)</f>
        <v>-1</v>
      </c>
      <c r="AO18" s="14" t="str">
        <f>IF(AND($AM16=$AM18,$AN18&gt;$AN16),$AL16,$AL18)</f>
        <v>BETÃO</v>
      </c>
      <c r="AP18" s="14">
        <f>VLOOKUP($AO18,$V15:$AD18,9,FALSE)</f>
        <v>2</v>
      </c>
      <c r="AQ18" s="14">
        <f>VLOOKUP($AO18,$V15:$AD18,8,FALSE)</f>
        <v>-1</v>
      </c>
      <c r="AR18" s="14" t="str">
        <f>IF(AND($AP15=$AP18,$AQ18&gt;$AQ15),$AO15,$AO18)</f>
        <v>BETÃO</v>
      </c>
      <c r="AS18" s="14">
        <f>VLOOKUP($AR18,$V15:$AD18,9,FALSE)</f>
        <v>2</v>
      </c>
      <c r="AT18" s="14">
        <f>VLOOKUP($AR18,$V15:$AD18,8,FALSE)</f>
        <v>-1</v>
      </c>
      <c r="AU18" s="14">
        <f>VLOOKUP($AR18,$V15:$AD18,6,FALSE)</f>
        <v>0</v>
      </c>
      <c r="AV18" s="14" t="str">
        <f>IF(AND($AS17=$AS18,$AT17=$AT18,$AU18&gt;$AU17),$AR17,$AR18)</f>
        <v>BETÃO</v>
      </c>
      <c r="AW18" s="14">
        <f>VLOOKUP($AV18,$V15:$AD18,9,FALSE)</f>
        <v>2</v>
      </c>
      <c r="AX18" s="14">
        <f>VLOOKUP($AV18,$V15:$AD18,8,FALSE)</f>
        <v>-1</v>
      </c>
      <c r="AY18" s="14">
        <f>VLOOKUP($AV18,$V15:$AD18,6,FALSE)</f>
        <v>0</v>
      </c>
      <c r="AZ18" s="14" t="str">
        <f>IF(AND($AW16=$AW18,$AX16=$AX18,$AY18&gt;$AY16),$AV16,$AV18)</f>
        <v>BETÃO</v>
      </c>
      <c r="BA18" s="14">
        <f>VLOOKUP($AZ18,$V15:$AD18,9,FALSE)</f>
        <v>2</v>
      </c>
      <c r="BB18" s="14">
        <f>VLOOKUP($AZ18,$V15:$AD18,8,FALSE)</f>
        <v>-1</v>
      </c>
      <c r="BC18" s="14">
        <f>VLOOKUP($AZ18,$V15:$AD18,6,FALSE)</f>
        <v>0</v>
      </c>
      <c r="BD18" s="14" t="str">
        <f>IF(AND($BA15=$BA18,$BB15=$BB18,$BC18&gt;$BC15),$AZ15,$AZ18)</f>
        <v>BETÃO</v>
      </c>
      <c r="BE18" s="14">
        <f>VLOOKUP($BD18,$V15:$AD18,9,FALSE)</f>
        <v>2</v>
      </c>
      <c r="BF18" s="14">
        <f>VLOOKUP($BD18,$V15:$AD18,8,FALSE)</f>
        <v>-1</v>
      </c>
      <c r="BG18" s="14">
        <f>VLOOKUP($BD18,$V15:$AD18,6,FALSE)</f>
        <v>0</v>
      </c>
      <c r="BK18" s="14" t="str">
        <f>BD18</f>
        <v>BETÃO</v>
      </c>
      <c r="BL18" s="14">
        <f>VLOOKUP($BK18,$V15:$AD18,2,FALSE)</f>
        <v>3</v>
      </c>
      <c r="BM18" s="14">
        <f>VLOOKUP($BK18,$V15:$AD18,3,FALSE)</f>
        <v>0</v>
      </c>
      <c r="BN18" s="14">
        <f>VLOOKUP($BK18,$V15:$AD18,4,FALSE)</f>
        <v>1</v>
      </c>
      <c r="BO18" s="14">
        <f>VLOOKUP($BK18,$V15:$AD18,5,FALSE)</f>
        <v>2</v>
      </c>
      <c r="BP18" s="14">
        <f>VLOOKUP($BK18,$V15:$AD18,6,FALSE)</f>
        <v>0</v>
      </c>
      <c r="BQ18" s="14">
        <f>VLOOKUP($BK18,$V15:$AD18,7,FALSE)</f>
        <v>1</v>
      </c>
      <c r="BR18" s="14">
        <f>VLOOKUP($BK18,$V15:$AD18,8,FALSE)</f>
        <v>-1</v>
      </c>
      <c r="BS18" s="14">
        <f>VLOOKUP($BK18,$V15:$AD18,9,FALSE)</f>
        <v>2</v>
      </c>
    </row>
    <row r="19" spans="1:20" ht="13.5" customHeight="1" thickBot="1">
      <c r="A19" s="40">
        <v>7</v>
      </c>
      <c r="B19" s="41">
        <v>13</v>
      </c>
      <c r="C19" s="42" t="str">
        <f>'Chaves 1a.Fase'!C8</f>
        <v>MARQUINHO</v>
      </c>
      <c r="D19" s="89">
        <v>2</v>
      </c>
      <c r="E19" s="89">
        <v>1</v>
      </c>
      <c r="F19" s="43" t="str">
        <f>'Chaves 1a.Fase'!C11</f>
        <v>SERGIO</v>
      </c>
      <c r="G19" s="43" t="str">
        <f>'Chaves 1a.Fase'!D14</f>
        <v>CRISTIANO</v>
      </c>
      <c r="H19" s="40"/>
      <c r="I19" s="14" t="str">
        <f t="shared" si="1"/>
        <v>MARQUINHO</v>
      </c>
      <c r="J19" s="14" t="str">
        <f t="shared" si="2"/>
        <v>SERGIO</v>
      </c>
      <c r="L19" s="25" t="str">
        <f t="shared" si="4"/>
        <v>ZILBER</v>
      </c>
      <c r="M19" s="26">
        <f t="shared" si="4"/>
        <v>3</v>
      </c>
      <c r="N19" s="26">
        <f t="shared" si="4"/>
        <v>1</v>
      </c>
      <c r="O19" s="26">
        <f t="shared" si="4"/>
        <v>0</v>
      </c>
      <c r="P19" s="26">
        <f t="shared" si="4"/>
        <v>2</v>
      </c>
      <c r="Q19" s="26">
        <f t="shared" si="4"/>
        <v>1</v>
      </c>
      <c r="R19" s="26">
        <f t="shared" si="4"/>
        <v>0</v>
      </c>
      <c r="S19" s="26">
        <f t="shared" si="4"/>
        <v>1</v>
      </c>
      <c r="T19" s="27">
        <f t="shared" si="4"/>
        <v>5</v>
      </c>
    </row>
    <row r="20" spans="1:22" ht="13.5" customHeight="1" thickBot="1">
      <c r="A20" s="26">
        <v>7</v>
      </c>
      <c r="B20" s="33">
        <v>14</v>
      </c>
      <c r="C20" s="34" t="str">
        <f>'Chaves 1a.Fase'!C9</f>
        <v>SINVAL</v>
      </c>
      <c r="D20" s="88">
        <v>1</v>
      </c>
      <c r="E20" s="87">
        <v>0</v>
      </c>
      <c r="F20" s="35" t="str">
        <f>'Chaves 1a.Fase'!C10</f>
        <v>MARCOS ANT.</v>
      </c>
      <c r="G20" s="36" t="str">
        <f>'Chaves 1a.Fase'!D15</f>
        <v>VINHAS</v>
      </c>
      <c r="H20" s="26"/>
      <c r="I20" s="14" t="str">
        <f t="shared" si="1"/>
        <v>SINVAL</v>
      </c>
      <c r="J20" s="14" t="str">
        <f t="shared" si="2"/>
        <v>MARCOS ANT.</v>
      </c>
      <c r="L20" s="25" t="str">
        <f t="shared" si="4"/>
        <v>ANTONIO</v>
      </c>
      <c r="M20" s="26">
        <f t="shared" si="4"/>
        <v>3</v>
      </c>
      <c r="N20" s="26">
        <f t="shared" si="4"/>
        <v>0</v>
      </c>
      <c r="O20" s="26">
        <f t="shared" si="4"/>
        <v>1</v>
      </c>
      <c r="P20" s="26">
        <f t="shared" si="4"/>
        <v>2</v>
      </c>
      <c r="Q20" s="26">
        <f t="shared" si="4"/>
        <v>1</v>
      </c>
      <c r="R20" s="26">
        <f t="shared" si="4"/>
        <v>2</v>
      </c>
      <c r="S20" s="26">
        <f t="shared" si="4"/>
        <v>-1</v>
      </c>
      <c r="T20" s="27">
        <f t="shared" si="4"/>
        <v>2</v>
      </c>
      <c r="V20" s="14" t="s">
        <v>117</v>
      </c>
    </row>
    <row r="21" spans="1:30" ht="13.5" customHeight="1" thickBot="1">
      <c r="A21" s="26">
        <v>8</v>
      </c>
      <c r="B21" s="33">
        <v>15</v>
      </c>
      <c r="C21" s="34" t="str">
        <f>'Chaves 1a.Fase'!D8</f>
        <v>ITALO</v>
      </c>
      <c r="D21" s="88">
        <v>0</v>
      </c>
      <c r="E21" s="87">
        <v>1</v>
      </c>
      <c r="F21" s="35" t="str">
        <f>'Chaves 1a.Fase'!D11</f>
        <v>MALLET</v>
      </c>
      <c r="G21" s="36" t="str">
        <f>'Chaves 1a.Fase'!D16</f>
        <v>LEANDRO</v>
      </c>
      <c r="H21" s="26"/>
      <c r="I21" s="14" t="str">
        <f t="shared" si="1"/>
        <v>MALLET</v>
      </c>
      <c r="J21" s="14" t="str">
        <f t="shared" si="2"/>
        <v>ITALO</v>
      </c>
      <c r="L21" s="37" t="str">
        <f t="shared" si="4"/>
        <v>CAJU</v>
      </c>
      <c r="M21" s="38">
        <f t="shared" si="4"/>
        <v>3</v>
      </c>
      <c r="N21" s="38">
        <f t="shared" si="4"/>
        <v>0</v>
      </c>
      <c r="O21" s="38">
        <f t="shared" si="4"/>
        <v>1</v>
      </c>
      <c r="P21" s="38">
        <f t="shared" si="4"/>
        <v>2</v>
      </c>
      <c r="Q21" s="38">
        <f t="shared" si="4"/>
        <v>0</v>
      </c>
      <c r="R21" s="38">
        <f t="shared" si="4"/>
        <v>3</v>
      </c>
      <c r="S21" s="38">
        <f t="shared" si="4"/>
        <v>-3</v>
      </c>
      <c r="T21" s="39">
        <f t="shared" si="4"/>
        <v>2</v>
      </c>
      <c r="W21" s="14" t="s">
        <v>107</v>
      </c>
      <c r="X21" s="14" t="s">
        <v>108</v>
      </c>
      <c r="Y21" s="14" t="s">
        <v>109</v>
      </c>
      <c r="Z21" s="14" t="s">
        <v>85</v>
      </c>
      <c r="AA21" s="14" t="s">
        <v>110</v>
      </c>
      <c r="AB21" s="14" t="s">
        <v>111</v>
      </c>
      <c r="AC21" s="14" t="s">
        <v>112</v>
      </c>
      <c r="AD21" s="14" t="s">
        <v>113</v>
      </c>
    </row>
    <row r="22" spans="1:71" ht="13.5" customHeight="1" thickBot="1">
      <c r="A22" s="26">
        <v>8</v>
      </c>
      <c r="B22" s="33">
        <v>16</v>
      </c>
      <c r="C22" s="34" t="str">
        <f>'Chaves 1a.Fase'!D9</f>
        <v>AZAMBUJA</v>
      </c>
      <c r="D22" s="88">
        <v>0</v>
      </c>
      <c r="E22" s="87">
        <v>1</v>
      </c>
      <c r="F22" s="35" t="str">
        <f>'Chaves 1a.Fase'!D10</f>
        <v>ALEX</v>
      </c>
      <c r="G22" s="36" t="str">
        <f>'Chaves 1a.Fase'!D17</f>
        <v>DUDA</v>
      </c>
      <c r="H22" s="26"/>
      <c r="I22" s="14" t="str">
        <f t="shared" si="1"/>
        <v>ALEX</v>
      </c>
      <c r="J22" s="14" t="str">
        <f t="shared" si="2"/>
        <v>AZAMBUJA</v>
      </c>
      <c r="V22" s="14" t="str">
        <f>'Chaves 1a.Fase'!C2</f>
        <v>RODRIGO B.</v>
      </c>
      <c r="W22" s="14">
        <f>COUNT(ALEGRETE_JOGOS)</f>
        <v>3</v>
      </c>
      <c r="X22" s="14">
        <f>COUNTIF(Groupstage_Winners,'Chaves 1a.Fase'!C2)</f>
        <v>1</v>
      </c>
      <c r="Y22" s="14">
        <f>COUNTIF(Groupstage_Losers,'Chaves 1a.Fase'!C2)</f>
        <v>0</v>
      </c>
      <c r="Z22" s="14">
        <f>W22-(X22+Y22)</f>
        <v>2</v>
      </c>
      <c r="AA22" s="14">
        <f>SUM(ALEGRETE_JOGOS)</f>
        <v>4</v>
      </c>
      <c r="AB22" s="14">
        <f>SUM(ALEGRETE_ADV)</f>
        <v>1</v>
      </c>
      <c r="AC22" s="14">
        <f>AA22-AB22</f>
        <v>3</v>
      </c>
      <c r="AD22" s="14">
        <f>X22*Winpoints+Z22*Drawpoints</f>
        <v>5</v>
      </c>
      <c r="AE22" s="14" t="str">
        <f>IF($AD22&gt;=$AD23,$V22,$V23)</f>
        <v>RODRIGO B.</v>
      </c>
      <c r="AF22" s="14">
        <f>VLOOKUP($AE22,$V22:$AD25,9,FALSE)</f>
        <v>5</v>
      </c>
      <c r="AG22" s="14" t="str">
        <f>IF($AF22&gt;=$AF24,$AE22,$AE24)</f>
        <v>RODRIGO B.</v>
      </c>
      <c r="AH22" s="14">
        <f>VLOOKUP($AG22,$V22:$AD25,9,FALSE)</f>
        <v>5</v>
      </c>
      <c r="AI22" s="14" t="str">
        <f>IF($AH22&gt;=$AH25,$AG22,$AG25)</f>
        <v>RODRIGO B.</v>
      </c>
      <c r="AJ22" s="14">
        <f>VLOOKUP($AI22,$V22:$AD25,9,FALSE)</f>
        <v>5</v>
      </c>
      <c r="AK22" s="14">
        <f>VLOOKUP($AI22,$V22:$AD25,8,FALSE)</f>
        <v>3</v>
      </c>
      <c r="AL22" s="14" t="str">
        <f>IF(AND($AJ22=$AJ23,$AK23&gt;$AK22),$AI23,$AI22)</f>
        <v>RODRIGO B.</v>
      </c>
      <c r="AM22" s="14">
        <f>VLOOKUP($AL22,$V22:$AD25,9,FALSE)</f>
        <v>5</v>
      </c>
      <c r="AN22" s="14">
        <f>VLOOKUP($AL22,$V22:$AD25,8,FALSE)</f>
        <v>3</v>
      </c>
      <c r="AO22" s="14" t="str">
        <f>IF(AND($AM22=$AM24,$AN24&gt;$AN22),$AL24,$AL22)</f>
        <v>RODRIGO B.</v>
      </c>
      <c r="AP22" s="14">
        <f>VLOOKUP($AO22,$V22:$AD25,9,FALSE)</f>
        <v>5</v>
      </c>
      <c r="AQ22" s="14">
        <f>VLOOKUP($AO22,$V22:$AD25,8,FALSE)</f>
        <v>3</v>
      </c>
      <c r="AR22" s="14" t="str">
        <f>IF(AND($AP22=$AP25,$AQ25&gt;$AQ22),$AO25,$AO22)</f>
        <v>RODRIGO B.</v>
      </c>
      <c r="AS22" s="14">
        <f>VLOOKUP($AR22,$V22:$AD25,9,FALSE)</f>
        <v>5</v>
      </c>
      <c r="AT22" s="14">
        <f>VLOOKUP($AR22,$V22:$AD25,8,FALSE)</f>
        <v>3</v>
      </c>
      <c r="AU22" s="14">
        <f>VLOOKUP($AR22,$V22:$AD25,6,FALSE)</f>
        <v>4</v>
      </c>
      <c r="AV22" s="14" t="str">
        <f>IF(AND($AS22=$AS23,$AT22=$AT23,$AU23&gt;$AU22),$AR23,$AR22)</f>
        <v>RODRIGO B.</v>
      </c>
      <c r="AW22" s="14">
        <f>VLOOKUP($AV22,$V22:$AD25,9,FALSE)</f>
        <v>5</v>
      </c>
      <c r="AX22" s="14">
        <f>VLOOKUP($AV22,$V22:$AD25,8,FALSE)</f>
        <v>3</v>
      </c>
      <c r="AY22" s="14">
        <f>VLOOKUP($AV22,$V22:$AD25,6,FALSE)</f>
        <v>4</v>
      </c>
      <c r="AZ22" s="14" t="str">
        <f>IF(AND($AW22=$AW24,$AX22=$AX24,$AY24&gt;$AY22),$AV24,$AV22)</f>
        <v>RODRIGO B.</v>
      </c>
      <c r="BA22" s="14">
        <f>VLOOKUP($AZ22,$V22:$AD25,9,FALSE)</f>
        <v>5</v>
      </c>
      <c r="BB22" s="14">
        <f>VLOOKUP($AZ22,$V22:$AD25,8,FALSE)</f>
        <v>3</v>
      </c>
      <c r="BC22" s="14">
        <f>VLOOKUP($AZ22,$V22:$AD25,6,FALSE)</f>
        <v>4</v>
      </c>
      <c r="BD22" s="14" t="str">
        <f>IF(AND($BA22=$BA25,$BB22=$BB25,$BC25&gt;$BC22),$AZ25,$AZ22)</f>
        <v>RODRIGO B.</v>
      </c>
      <c r="BE22" s="14">
        <f>VLOOKUP($BD22,$V22:$AD25,9,FALSE)</f>
        <v>5</v>
      </c>
      <c r="BF22" s="14">
        <f>VLOOKUP($BD22,$V22:$AD25,8,FALSE)</f>
        <v>3</v>
      </c>
      <c r="BG22" s="14">
        <f>VLOOKUP($BD22,$V22:$AD25,6,FALSE)</f>
        <v>4</v>
      </c>
      <c r="BK22" s="14" t="str">
        <f>BD22</f>
        <v>RODRIGO B.</v>
      </c>
      <c r="BL22" s="14">
        <f>VLOOKUP($BK22,$V22:$AD25,2,FALSE)</f>
        <v>3</v>
      </c>
      <c r="BM22" s="14">
        <f>VLOOKUP($BK22,$V22:$AD25,3,FALSE)</f>
        <v>1</v>
      </c>
      <c r="BN22" s="14">
        <f>VLOOKUP($BK22,$V22:$AD25,4,FALSE)</f>
        <v>0</v>
      </c>
      <c r="BO22" s="14">
        <f>VLOOKUP($BK22,$V22:$AD25,5,FALSE)</f>
        <v>2</v>
      </c>
      <c r="BP22" s="14">
        <f>VLOOKUP($BK22,$V22:$AD25,6,FALSE)</f>
        <v>4</v>
      </c>
      <c r="BQ22" s="14">
        <f>VLOOKUP($BK22,$V22:$AD25,7,FALSE)</f>
        <v>1</v>
      </c>
      <c r="BR22" s="14">
        <f>VLOOKUP($BK22,$V22:$AD25,8,FALSE)</f>
        <v>3</v>
      </c>
      <c r="BS22" s="14">
        <f>VLOOKUP($BK22,$V22:$AD25,9,FALSE)</f>
        <v>5</v>
      </c>
    </row>
    <row r="23" spans="1:71" ht="15.75" customHeight="1">
      <c r="A23" s="74" t="s">
        <v>118</v>
      </c>
      <c r="B23" s="74"/>
      <c r="C23" s="74"/>
      <c r="D23" s="74"/>
      <c r="E23" s="74"/>
      <c r="F23" s="74"/>
      <c r="G23" s="74"/>
      <c r="H23" s="74"/>
      <c r="I23" s="46"/>
      <c r="L23" s="19" t="s">
        <v>3</v>
      </c>
      <c r="M23" s="20"/>
      <c r="N23" s="20"/>
      <c r="O23" s="20"/>
      <c r="P23" s="20"/>
      <c r="Q23" s="20"/>
      <c r="R23" s="20"/>
      <c r="S23" s="20"/>
      <c r="T23" s="21"/>
      <c r="V23" s="14" t="str">
        <f>'Chaves 1a.Fase'!C3</f>
        <v>ANTONIO</v>
      </c>
      <c r="W23" s="14">
        <f>COUNT(BAGE_JOGOS)</f>
        <v>3</v>
      </c>
      <c r="X23" s="14">
        <f>COUNTIF(Groupstage_Winners,'Chaves 1a.Fase'!C3)</f>
        <v>0</v>
      </c>
      <c r="Y23" s="14">
        <f>COUNTIF(Groupstage_Losers,'Chaves 1a.Fase'!C3)</f>
        <v>1</v>
      </c>
      <c r="Z23" s="14">
        <f>W23-(X23+Y23)</f>
        <v>2</v>
      </c>
      <c r="AA23" s="14">
        <f>SUM(BAGE_JOGOS)</f>
        <v>1</v>
      </c>
      <c r="AB23" s="14">
        <f>SUM(BAGE_ADV)</f>
        <v>2</v>
      </c>
      <c r="AC23" s="14">
        <f>AA23-AB23</f>
        <v>-1</v>
      </c>
      <c r="AD23" s="14">
        <f>X23*Winpoints+Z23*Drawpoints</f>
        <v>2</v>
      </c>
      <c r="AE23" s="14" t="str">
        <f>IF($AD23&lt;=$AD22,$V23,$V22)</f>
        <v>ANTONIO</v>
      </c>
      <c r="AF23" s="14">
        <f>VLOOKUP($AE23,$V22:$AD25,9,FALSE)</f>
        <v>2</v>
      </c>
      <c r="AG23" s="14" t="str">
        <f>IF(AF23&gt;=AF25,AE23,AE25)</f>
        <v>ANTONIO</v>
      </c>
      <c r="AH23" s="14">
        <f>VLOOKUP($AG23,$V22:$AD25,9,FALSE)</f>
        <v>2</v>
      </c>
      <c r="AI23" s="14" t="str">
        <f>IF($AH23&gt;=$AH24,$AG23,$AG24)</f>
        <v>ZILBER</v>
      </c>
      <c r="AJ23" s="14">
        <f>VLOOKUP($AI23,$V22:$AD25,9,FALSE)</f>
        <v>5</v>
      </c>
      <c r="AK23" s="14">
        <f>VLOOKUP($AI23,$V22:$AD25,8,FALSE)</f>
        <v>1</v>
      </c>
      <c r="AL23" s="14" t="str">
        <f>IF(AND($AJ22=$AJ23,$AK23&gt;$AK22),$AI22,$AI23)</f>
        <v>ZILBER</v>
      </c>
      <c r="AM23" s="14">
        <f>VLOOKUP($AL23,$V22:$AD25,9,FALSE)</f>
        <v>5</v>
      </c>
      <c r="AN23" s="14">
        <f>VLOOKUP($AL23,$V22:$AD25,8,FALSE)</f>
        <v>1</v>
      </c>
      <c r="AO23" s="14" t="str">
        <f>IF(AND($AM23=$AM25,$AN25&gt;$AN23),$AL25,$AL23)</f>
        <v>ZILBER</v>
      </c>
      <c r="AP23" s="14">
        <f>VLOOKUP($AO23,$V22:$AD25,9,FALSE)</f>
        <v>5</v>
      </c>
      <c r="AQ23" s="14">
        <f>VLOOKUP($AO23,$V22:$AD25,8,FALSE)</f>
        <v>1</v>
      </c>
      <c r="AR23" s="14" t="str">
        <f>IF(AND($AP23=$AP24,$AQ24&gt;$AQ23),$AO24,$AO23)</f>
        <v>ZILBER</v>
      </c>
      <c r="AS23" s="14">
        <f>VLOOKUP($AR23,$V22:$AD25,9,FALSE)</f>
        <v>5</v>
      </c>
      <c r="AT23" s="14">
        <f>VLOOKUP($AR23,$V22:$AD25,8,FALSE)</f>
        <v>1</v>
      </c>
      <c r="AU23" s="14">
        <f>VLOOKUP($AR23,$V22:$AD25,6,FALSE)</f>
        <v>1</v>
      </c>
      <c r="AV23" s="14" t="str">
        <f>IF(AND($AS22=$AS23,$AT22=$AT23,$AU23&gt;$AU22),$AR22,$AR23)</f>
        <v>ZILBER</v>
      </c>
      <c r="AW23" s="14">
        <f>VLOOKUP($AV23,$V22:$AD25,9,FALSE)</f>
        <v>5</v>
      </c>
      <c r="AX23" s="14">
        <f>VLOOKUP($AV23,$V22:$AD25,8,FALSE)</f>
        <v>1</v>
      </c>
      <c r="AY23" s="14">
        <f>VLOOKUP($AV23,$V22:$AD25,6,FALSE)</f>
        <v>1</v>
      </c>
      <c r="AZ23" s="14" t="str">
        <f>IF(AND($AW23=$AW25,$AX23=$AX25,$AY25&gt;$AY23),$AV25,$AV23)</f>
        <v>ZILBER</v>
      </c>
      <c r="BA23" s="14">
        <f>VLOOKUP($AZ23,$V22:$AD25,9,FALSE)</f>
        <v>5</v>
      </c>
      <c r="BB23" s="14">
        <f>VLOOKUP($AZ23,$V22:$AD25,8,FALSE)</f>
        <v>1</v>
      </c>
      <c r="BC23" s="14">
        <f>VLOOKUP($AZ23,$V22:$AD25,6,FALSE)</f>
        <v>1</v>
      </c>
      <c r="BD23" s="14" t="str">
        <f>IF(AND($BA23=$BA24,$BB23=$BB24,$BC24&gt;$BC23),$AZ24,$AZ23)</f>
        <v>ZILBER</v>
      </c>
      <c r="BE23" s="14">
        <f>VLOOKUP($BD23,$V22:$AD25,9,FALSE)</f>
        <v>5</v>
      </c>
      <c r="BF23" s="14">
        <f>VLOOKUP($BD23,$V22:$AD25,8,FALSE)</f>
        <v>1</v>
      </c>
      <c r="BG23" s="14">
        <f>VLOOKUP($BD23,$V22:$AD25,6,FALSE)</f>
        <v>1</v>
      </c>
      <c r="BK23" s="14" t="str">
        <f>BD23</f>
        <v>ZILBER</v>
      </c>
      <c r="BL23" s="14">
        <f>VLOOKUP($BK23,$V22:$AD25,2,FALSE)</f>
        <v>3</v>
      </c>
      <c r="BM23" s="14">
        <f>VLOOKUP($BK23,$V22:$AD25,3,FALSE)</f>
        <v>1</v>
      </c>
      <c r="BN23" s="14">
        <f>VLOOKUP($BK23,$V22:$AD25,4,FALSE)</f>
        <v>0</v>
      </c>
      <c r="BO23" s="14">
        <f>VLOOKUP($BK23,$V22:$AD25,5,FALSE)</f>
        <v>2</v>
      </c>
      <c r="BP23" s="14">
        <f>VLOOKUP($BK23,$V22:$AD25,6,FALSE)</f>
        <v>1</v>
      </c>
      <c r="BQ23" s="14">
        <f>VLOOKUP($BK23,$V22:$AD25,7,FALSE)</f>
        <v>0</v>
      </c>
      <c r="BR23" s="14">
        <f>VLOOKUP($BK23,$V22:$AD25,8,FALSE)</f>
        <v>1</v>
      </c>
      <c r="BS23" s="14">
        <f>VLOOKUP($BK23,$V22:$AD25,9,FALSE)</f>
        <v>5</v>
      </c>
    </row>
    <row r="24" spans="1:71" ht="13.5" customHeight="1" thickBot="1">
      <c r="A24" s="26">
        <v>9</v>
      </c>
      <c r="B24" s="33">
        <v>1</v>
      </c>
      <c r="C24" s="34" t="str">
        <f>'Chaves 1a.Fase'!A14</f>
        <v>JULINHO</v>
      </c>
      <c r="D24" s="90">
        <v>1</v>
      </c>
      <c r="E24" s="91">
        <v>1</v>
      </c>
      <c r="F24" s="35" t="str">
        <f>'Chaves 1a.Fase'!A17</f>
        <v>OCHOINHA</v>
      </c>
      <c r="G24" s="36" t="str">
        <f>'Chaves 1a.Fase'!A2</f>
        <v>PAULO</v>
      </c>
      <c r="H24" s="26"/>
      <c r="I24" s="14" t="str">
        <f t="shared" si="1"/>
        <v>Draw</v>
      </c>
      <c r="J24" s="14" t="str">
        <f t="shared" si="2"/>
        <v>Draw</v>
      </c>
      <c r="L24" s="22"/>
      <c r="M24" s="23" t="s">
        <v>83</v>
      </c>
      <c r="N24" s="23" t="s">
        <v>84</v>
      </c>
      <c r="O24" s="23" t="s">
        <v>85</v>
      </c>
      <c r="P24" s="23" t="s">
        <v>86</v>
      </c>
      <c r="Q24" s="23" t="s">
        <v>87</v>
      </c>
      <c r="R24" s="23" t="s">
        <v>88</v>
      </c>
      <c r="S24" s="23" t="s">
        <v>89</v>
      </c>
      <c r="T24" s="24" t="s">
        <v>90</v>
      </c>
      <c r="V24" s="14" t="str">
        <f>'Chaves 1a.Fase'!C4</f>
        <v>ZILBER</v>
      </c>
      <c r="W24" s="14">
        <f>COUNT(CANGUÇU_JOGOS)</f>
        <v>3</v>
      </c>
      <c r="X24" s="14">
        <f>COUNTIF(Groupstage_Winners,'Chaves 1a.Fase'!C4)</f>
        <v>1</v>
      </c>
      <c r="Y24" s="14">
        <f>COUNTIF(Groupstage_Losers,'Chaves 1a.Fase'!C4)</f>
        <v>0</v>
      </c>
      <c r="Z24" s="14">
        <f>W24-(X24+Y24)</f>
        <v>2</v>
      </c>
      <c r="AA24" s="14">
        <f>SUM(CANGUÇU_JOGOS)</f>
        <v>1</v>
      </c>
      <c r="AB24" s="14">
        <f>SUM(CANGUÇU_ADV)</f>
        <v>0</v>
      </c>
      <c r="AC24" s="14">
        <f>AA24-AB24</f>
        <v>1</v>
      </c>
      <c r="AD24" s="14">
        <f>X24*Winpoints+Z24*Drawpoints</f>
        <v>5</v>
      </c>
      <c r="AE24" s="14" t="str">
        <f>IF($AD24&gt;=$AD25,$V24,$V25)</f>
        <v>ZILBER</v>
      </c>
      <c r="AF24" s="14">
        <f>VLOOKUP($AE24,$V22:$AD25,9,FALSE)</f>
        <v>5</v>
      </c>
      <c r="AG24" s="14" t="str">
        <f>IF($AF24&lt;=$AF22,$AE24,$AE22)</f>
        <v>ZILBER</v>
      </c>
      <c r="AH24" s="14">
        <f>VLOOKUP($AG24,$V22:$AD25,9,FALSE)</f>
        <v>5</v>
      </c>
      <c r="AI24" s="14" t="str">
        <f>IF($AH24&lt;=$AH23,$AG24,$AG23)</f>
        <v>ANTONIO</v>
      </c>
      <c r="AJ24" s="14">
        <f>VLOOKUP($AI24,$V22:$AD25,9,FALSE)</f>
        <v>2</v>
      </c>
      <c r="AK24" s="14">
        <f>VLOOKUP($AI24,$V22:$AD25,8,FALSE)</f>
        <v>-1</v>
      </c>
      <c r="AL24" s="14" t="str">
        <f>IF(AND($AJ24=$AJ25,$AK25&gt;$AK24),$AI25,$AI24)</f>
        <v>ANTONIO</v>
      </c>
      <c r="AM24" s="14">
        <f>VLOOKUP($AL24,$V22:$AD25,9,FALSE)</f>
        <v>2</v>
      </c>
      <c r="AN24" s="14">
        <f>VLOOKUP($AL24,$V22:$AD25,8,FALSE)</f>
        <v>-1</v>
      </c>
      <c r="AO24" s="14" t="str">
        <f>IF(AND($AM22=$AM24,$AN24&gt;$AN22),$AL22,$AL24)</f>
        <v>ANTONIO</v>
      </c>
      <c r="AP24" s="14">
        <f>VLOOKUP($AO24,$V22:$AD25,9,FALSE)</f>
        <v>2</v>
      </c>
      <c r="AQ24" s="14">
        <f>VLOOKUP($AO24,$V22:$AD25,8,FALSE)</f>
        <v>-1</v>
      </c>
      <c r="AR24" s="14" t="str">
        <f>IF(AND($AP23=$AP24,$AQ24&gt;$AQ23),$AO23,$AO24)</f>
        <v>ANTONIO</v>
      </c>
      <c r="AS24" s="14">
        <f>VLOOKUP($AR24,$V22:$AD25,9,FALSE)</f>
        <v>2</v>
      </c>
      <c r="AT24" s="14">
        <f>VLOOKUP($AR24,$V22:$AD25,8,FALSE)</f>
        <v>-1</v>
      </c>
      <c r="AU24" s="14">
        <f>VLOOKUP($AR24,$V22:$AD25,6,FALSE)</f>
        <v>1</v>
      </c>
      <c r="AV24" s="14" t="str">
        <f>IF(AND($AS24=$AS25,$AT24=$AT25,$AU25&gt;$AU24),$AR25,$AR24)</f>
        <v>ANTONIO</v>
      </c>
      <c r="AW24" s="14">
        <f>VLOOKUP($AV24,$V22:$AD25,9,FALSE)</f>
        <v>2</v>
      </c>
      <c r="AX24" s="14">
        <f>VLOOKUP($AV24,$V22:$AD25,8,FALSE)</f>
        <v>-1</v>
      </c>
      <c r="AY24" s="14">
        <f>VLOOKUP($AV24,$V22:$AD25,6,FALSE)</f>
        <v>1</v>
      </c>
      <c r="AZ24" s="14" t="str">
        <f>IF(AND($AW22=$AW24,$AX22=$AX24,$AY24&gt;$AY22),$AV22,$AV24)</f>
        <v>ANTONIO</v>
      </c>
      <c r="BA24" s="14">
        <f>VLOOKUP($AZ24,$V22:$AD25,9,FALSE)</f>
        <v>2</v>
      </c>
      <c r="BB24" s="14">
        <f>VLOOKUP($AZ24,$V22:$AD25,8,FALSE)</f>
        <v>-1</v>
      </c>
      <c r="BC24" s="14">
        <f>VLOOKUP($AZ24,$V22:$AD25,6,FALSE)</f>
        <v>1</v>
      </c>
      <c r="BD24" s="14" t="str">
        <f>IF(AND($BA23=$BA24,$BB23=$BB24,$BC24&gt;$BC23),$AZ23,$AZ24)</f>
        <v>ANTONIO</v>
      </c>
      <c r="BE24" s="14">
        <f>VLOOKUP($BD24,$V22:$AD25,9,FALSE)</f>
        <v>2</v>
      </c>
      <c r="BF24" s="14">
        <f>VLOOKUP($BD24,$V22:$AD25,8,FALSE)</f>
        <v>-1</v>
      </c>
      <c r="BG24" s="14">
        <f>VLOOKUP($BD24,$V22:$AD25,6,FALSE)</f>
        <v>1</v>
      </c>
      <c r="BK24" s="14" t="str">
        <f>BD24</f>
        <v>ANTONIO</v>
      </c>
      <c r="BL24" s="14">
        <f>VLOOKUP($BK24,$V22:$AD25,2,FALSE)</f>
        <v>3</v>
      </c>
      <c r="BM24" s="14">
        <f>VLOOKUP($BK24,$V22:$AD25,3,FALSE)</f>
        <v>0</v>
      </c>
      <c r="BN24" s="14">
        <f>VLOOKUP($BK24,$V22:$AD25,4,FALSE)</f>
        <v>1</v>
      </c>
      <c r="BO24" s="14">
        <f>VLOOKUP($BK24,$V22:$AD25,5,FALSE)</f>
        <v>2</v>
      </c>
      <c r="BP24" s="14">
        <f>VLOOKUP($BK24,$V22:$AD25,6,FALSE)</f>
        <v>1</v>
      </c>
      <c r="BQ24" s="14">
        <f>VLOOKUP($BK24,$V22:$AD25,7,FALSE)</f>
        <v>2</v>
      </c>
      <c r="BR24" s="14">
        <f>VLOOKUP($BK24,$V22:$AD25,8,FALSE)</f>
        <v>-1</v>
      </c>
      <c r="BS24" s="14">
        <f>VLOOKUP($BK24,$V22:$AD25,9,FALSE)</f>
        <v>2</v>
      </c>
    </row>
    <row r="25" spans="1:71" ht="13.5" customHeight="1" thickBot="1">
      <c r="A25" s="26">
        <v>9</v>
      </c>
      <c r="B25" s="33">
        <v>2</v>
      </c>
      <c r="C25" s="34" t="str">
        <f>'Chaves 1a.Fase'!A15</f>
        <v>DANI</v>
      </c>
      <c r="D25" s="88">
        <v>0</v>
      </c>
      <c r="E25" s="87">
        <v>1</v>
      </c>
      <c r="F25" s="35" t="str">
        <f>'Chaves 1a.Fase'!A16</f>
        <v>JONI</v>
      </c>
      <c r="G25" s="36" t="str">
        <f>'Chaves 1a.Fase'!A3</f>
        <v>LEÃO</v>
      </c>
      <c r="H25" s="26"/>
      <c r="I25" s="14" t="str">
        <f t="shared" si="1"/>
        <v>JONI</v>
      </c>
      <c r="J25" s="14" t="str">
        <f t="shared" si="2"/>
        <v>DANI</v>
      </c>
      <c r="L25" s="25" t="str">
        <f aca="true" t="shared" si="5" ref="L25:T28">BK29</f>
        <v>PAIM</v>
      </c>
      <c r="M25" s="26">
        <f t="shared" si="5"/>
        <v>3</v>
      </c>
      <c r="N25" s="26">
        <f t="shared" si="5"/>
        <v>2</v>
      </c>
      <c r="O25" s="26">
        <f t="shared" si="5"/>
        <v>0</v>
      </c>
      <c r="P25" s="26">
        <f t="shared" si="5"/>
        <v>1</v>
      </c>
      <c r="Q25" s="26">
        <f t="shared" si="5"/>
        <v>2</v>
      </c>
      <c r="R25" s="26">
        <f t="shared" si="5"/>
        <v>0</v>
      </c>
      <c r="S25" s="26">
        <f t="shared" si="5"/>
        <v>2</v>
      </c>
      <c r="T25" s="27">
        <f t="shared" si="5"/>
        <v>7</v>
      </c>
      <c r="V25" s="14" t="str">
        <f>'Chaves 1a.Fase'!C5</f>
        <v>CAJU</v>
      </c>
      <c r="W25" s="14">
        <f>COUNT(LIVRAMENTO_JOGOS)</f>
        <v>3</v>
      </c>
      <c r="X25" s="14">
        <f>COUNTIF(Groupstage_Winners,'Chaves 1a.Fase'!C5)</f>
        <v>0</v>
      </c>
      <c r="Y25" s="14">
        <f>COUNTIF(Groupstage_Losers,'Chaves 1a.Fase'!C5)</f>
        <v>1</v>
      </c>
      <c r="Z25" s="14">
        <f>W25-(X25+Y25)</f>
        <v>2</v>
      </c>
      <c r="AA25" s="14">
        <f>SUM(LIVRAMENTO_JOGOS)</f>
        <v>0</v>
      </c>
      <c r="AB25" s="14">
        <f>SUM(LIVRAMENTO_ADV)</f>
        <v>3</v>
      </c>
      <c r="AC25" s="14">
        <f>AA25-AB25</f>
        <v>-3</v>
      </c>
      <c r="AD25" s="14">
        <f>X25*Winpoints+Z25*Drawpoints</f>
        <v>2</v>
      </c>
      <c r="AE25" s="14" t="str">
        <f>IF($AD25&lt;=$AD24,$V25,$V24)</f>
        <v>CAJU</v>
      </c>
      <c r="AF25" s="14">
        <f>VLOOKUP($AE25,$V22:$AD25,9,FALSE)</f>
        <v>2</v>
      </c>
      <c r="AG25" s="14" t="str">
        <f>IF(AF25&lt;=AF23,AE25,AE23)</f>
        <v>CAJU</v>
      </c>
      <c r="AH25" s="14">
        <f>VLOOKUP($AG25,$V22:$AD25,9,FALSE)</f>
        <v>2</v>
      </c>
      <c r="AI25" s="14" t="str">
        <f>IF($AH25&lt;=$AH22,$AG25,$AG22)</f>
        <v>CAJU</v>
      </c>
      <c r="AJ25" s="14">
        <f>VLOOKUP($AI25,$V22:$AD25,9,FALSE)</f>
        <v>2</v>
      </c>
      <c r="AK25" s="14">
        <f>VLOOKUP($AI25,$V22:$AD25,8,FALSE)</f>
        <v>-3</v>
      </c>
      <c r="AL25" s="14" t="str">
        <f>IF(AND($AJ24=$AJ25,$AK25&gt;$AK24),$AI24,$AI25)</f>
        <v>CAJU</v>
      </c>
      <c r="AM25" s="14">
        <f>VLOOKUP($AL25,$V22:$AD25,9,FALSE)</f>
        <v>2</v>
      </c>
      <c r="AN25" s="14">
        <f>VLOOKUP($AL25,$V22:$AD25,8,FALSE)</f>
        <v>-3</v>
      </c>
      <c r="AO25" s="14" t="str">
        <f>IF(AND($AM23=$AM25,$AN25&gt;$AN23),$AL23,$AL25)</f>
        <v>CAJU</v>
      </c>
      <c r="AP25" s="14">
        <f>VLOOKUP($AO25,$V22:$AD25,9,FALSE)</f>
        <v>2</v>
      </c>
      <c r="AQ25" s="14">
        <f>VLOOKUP($AO25,$V22:$AD25,8,FALSE)</f>
        <v>-3</v>
      </c>
      <c r="AR25" s="14" t="str">
        <f>IF(AND($AP22=$AP25,$AQ25&gt;$AQ22),$AO22,$AO25)</f>
        <v>CAJU</v>
      </c>
      <c r="AS25" s="14">
        <f>VLOOKUP($AR25,$V22:$AD25,9,FALSE)</f>
        <v>2</v>
      </c>
      <c r="AT25" s="14">
        <f>VLOOKUP($AR25,$V22:$AD25,8,FALSE)</f>
        <v>-3</v>
      </c>
      <c r="AU25" s="14">
        <f>VLOOKUP($AR25,$V22:$AD25,6,FALSE)</f>
        <v>0</v>
      </c>
      <c r="AV25" s="14" t="str">
        <f>IF(AND($AS24=$AS25,$AT24=$AT25,$AU25&gt;$AU24),$AR24,$AR25)</f>
        <v>CAJU</v>
      </c>
      <c r="AW25" s="14">
        <f>VLOOKUP($AV25,$V22:$AD25,9,FALSE)</f>
        <v>2</v>
      </c>
      <c r="AX25" s="14">
        <f>VLOOKUP($AV25,$V22:$AD25,8,FALSE)</f>
        <v>-3</v>
      </c>
      <c r="AY25" s="14">
        <f>VLOOKUP($AV25,$V22:$AD25,6,FALSE)</f>
        <v>0</v>
      </c>
      <c r="AZ25" s="14" t="str">
        <f>IF(AND($AW23=$AW25,$AX23=$AX25,$AY25&gt;$AY23),$AV23,$AV25)</f>
        <v>CAJU</v>
      </c>
      <c r="BA25" s="14">
        <f>VLOOKUP($AZ25,$V22:$AD25,9,FALSE)</f>
        <v>2</v>
      </c>
      <c r="BB25" s="14">
        <f>VLOOKUP($AZ25,$V22:$AD25,8,FALSE)</f>
        <v>-3</v>
      </c>
      <c r="BC25" s="14">
        <f>VLOOKUP($AZ25,$V22:$AD25,6,FALSE)</f>
        <v>0</v>
      </c>
      <c r="BD25" s="14" t="str">
        <f>IF(AND($BA22=$BA25,$BB22=$BB25,$BC25&gt;$BC22),$AZ22,$AZ25)</f>
        <v>CAJU</v>
      </c>
      <c r="BE25" s="14">
        <f>VLOOKUP($BD25,$V22:$AD25,9,FALSE)</f>
        <v>2</v>
      </c>
      <c r="BF25" s="14">
        <f>VLOOKUP($BD25,$V22:$AD25,8,FALSE)</f>
        <v>-3</v>
      </c>
      <c r="BG25" s="14">
        <f>VLOOKUP($BD25,$V22:$AD25,6,FALSE)</f>
        <v>0</v>
      </c>
      <c r="BK25" s="14" t="str">
        <f>BD25</f>
        <v>CAJU</v>
      </c>
      <c r="BL25" s="14">
        <f>VLOOKUP($BK25,$V22:$AD25,2,FALSE)</f>
        <v>3</v>
      </c>
      <c r="BM25" s="14">
        <f>VLOOKUP($BK25,$V22:$AD25,3,FALSE)</f>
        <v>0</v>
      </c>
      <c r="BN25" s="14">
        <f>VLOOKUP($BK25,$V22:$AD25,4,FALSE)</f>
        <v>1</v>
      </c>
      <c r="BO25" s="14">
        <f>VLOOKUP($BK25,$V22:$AD25,5,FALSE)</f>
        <v>2</v>
      </c>
      <c r="BP25" s="14">
        <f>VLOOKUP($BK25,$V22:$AD25,6,FALSE)</f>
        <v>0</v>
      </c>
      <c r="BQ25" s="14">
        <f>VLOOKUP($BK25,$V22:$AD25,7,FALSE)</f>
        <v>3</v>
      </c>
      <c r="BR25" s="14">
        <f>VLOOKUP($BK25,$V22:$AD25,8,FALSE)</f>
        <v>-3</v>
      </c>
      <c r="BS25" s="14">
        <f>VLOOKUP($BK25,$V22:$AD25,9,FALSE)</f>
        <v>2</v>
      </c>
    </row>
    <row r="26" spans="1:20" ht="13.5" customHeight="1" thickBot="1">
      <c r="A26" s="44">
        <v>10</v>
      </c>
      <c r="B26" s="45">
        <v>3</v>
      </c>
      <c r="C26" s="34" t="str">
        <f>'Chaves 1a.Fase'!B14</f>
        <v>KEVIN</v>
      </c>
      <c r="D26" s="88">
        <v>1</v>
      </c>
      <c r="E26" s="88">
        <v>3</v>
      </c>
      <c r="F26" s="35" t="str">
        <f>'Chaves 1a.Fase'!B17</f>
        <v>OSMAR</v>
      </c>
      <c r="G26" s="35" t="str">
        <f>'Chaves 1a.Fase'!A4</f>
        <v>DIOGO BRAGA</v>
      </c>
      <c r="H26" s="44"/>
      <c r="I26" s="14" t="str">
        <f t="shared" si="1"/>
        <v>OSMAR</v>
      </c>
      <c r="J26" s="14" t="str">
        <f t="shared" si="2"/>
        <v>KEVIN</v>
      </c>
      <c r="L26" s="25" t="str">
        <f t="shared" si="5"/>
        <v>EMERSON</v>
      </c>
      <c r="M26" s="26">
        <f t="shared" si="5"/>
        <v>3</v>
      </c>
      <c r="N26" s="26">
        <f t="shared" si="5"/>
        <v>1</v>
      </c>
      <c r="O26" s="26">
        <f t="shared" si="5"/>
        <v>0</v>
      </c>
      <c r="P26" s="26">
        <f t="shared" si="5"/>
        <v>2</v>
      </c>
      <c r="Q26" s="26">
        <f t="shared" si="5"/>
        <v>2</v>
      </c>
      <c r="R26" s="26">
        <f t="shared" si="5"/>
        <v>1</v>
      </c>
      <c r="S26" s="26">
        <f t="shared" si="5"/>
        <v>1</v>
      </c>
      <c r="T26" s="27">
        <f t="shared" si="5"/>
        <v>5</v>
      </c>
    </row>
    <row r="27" spans="1:22" ht="13.5" customHeight="1" thickBot="1">
      <c r="A27" s="26">
        <v>10</v>
      </c>
      <c r="B27" s="33">
        <v>4</v>
      </c>
      <c r="C27" s="34" t="str">
        <f>'Chaves 1a.Fase'!B15</f>
        <v>RENAN</v>
      </c>
      <c r="D27" s="88">
        <v>0</v>
      </c>
      <c r="E27" s="87">
        <v>0</v>
      </c>
      <c r="F27" s="35" t="str">
        <f>'Chaves 1a.Fase'!B16</f>
        <v>FELIPE</v>
      </c>
      <c r="G27" s="36" t="str">
        <f>'Chaves 1a.Fase'!A5</f>
        <v>ROBSON</v>
      </c>
      <c r="H27" s="26"/>
      <c r="I27" s="14" t="str">
        <f t="shared" si="1"/>
        <v>Draw</v>
      </c>
      <c r="J27" s="14" t="str">
        <f t="shared" si="2"/>
        <v>Draw</v>
      </c>
      <c r="L27" s="25" t="str">
        <f t="shared" si="5"/>
        <v>JULIO</v>
      </c>
      <c r="M27" s="26">
        <f t="shared" si="5"/>
        <v>3</v>
      </c>
      <c r="N27" s="26">
        <f t="shared" si="5"/>
        <v>1</v>
      </c>
      <c r="O27" s="26">
        <f t="shared" si="5"/>
        <v>2</v>
      </c>
      <c r="P27" s="26">
        <f t="shared" si="5"/>
        <v>0</v>
      </c>
      <c r="Q27" s="26">
        <f t="shared" si="5"/>
        <v>1</v>
      </c>
      <c r="R27" s="26">
        <f t="shared" si="5"/>
        <v>2</v>
      </c>
      <c r="S27" s="26">
        <f t="shared" si="5"/>
        <v>-1</v>
      </c>
      <c r="T27" s="27">
        <f t="shared" si="5"/>
        <v>3</v>
      </c>
      <c r="V27" s="14" t="s">
        <v>119</v>
      </c>
    </row>
    <row r="28" spans="1:30" ht="13.5" customHeight="1" thickBot="1">
      <c r="A28" s="26">
        <v>11</v>
      </c>
      <c r="B28" s="33">
        <v>5</v>
      </c>
      <c r="C28" s="34" t="str">
        <f>'Chaves 1a.Fase'!C14</f>
        <v>JOÃO GARIMA</v>
      </c>
      <c r="D28" s="88">
        <v>2</v>
      </c>
      <c r="E28" s="87">
        <v>0</v>
      </c>
      <c r="F28" s="35" t="str">
        <f>'Chaves 1a.Fase'!C17</f>
        <v>ROGÉRIO FEIJÓ</v>
      </c>
      <c r="G28" s="36" t="str">
        <f>'Chaves 1a.Fase'!B2</f>
        <v>CHRISTIAN</v>
      </c>
      <c r="H28" s="26"/>
      <c r="I28" s="14" t="str">
        <f t="shared" si="1"/>
        <v>JOÃO GARIMA</v>
      </c>
      <c r="J28" s="14" t="str">
        <f t="shared" si="2"/>
        <v>ROGÉRIO FEIJÓ</v>
      </c>
      <c r="L28" s="37" t="str">
        <f t="shared" si="5"/>
        <v>LUCIANO</v>
      </c>
      <c r="M28" s="38">
        <f t="shared" si="5"/>
        <v>3</v>
      </c>
      <c r="N28" s="38">
        <f t="shared" si="5"/>
        <v>0</v>
      </c>
      <c r="O28" s="38">
        <f t="shared" si="5"/>
        <v>2</v>
      </c>
      <c r="P28" s="38">
        <f t="shared" si="5"/>
        <v>1</v>
      </c>
      <c r="Q28" s="38">
        <f t="shared" si="5"/>
        <v>1</v>
      </c>
      <c r="R28" s="38">
        <f t="shared" si="5"/>
        <v>3</v>
      </c>
      <c r="S28" s="38">
        <f t="shared" si="5"/>
        <v>-2</v>
      </c>
      <c r="T28" s="39">
        <f t="shared" si="5"/>
        <v>1</v>
      </c>
      <c r="W28" s="14" t="s">
        <v>107</v>
      </c>
      <c r="X28" s="14" t="s">
        <v>108</v>
      </c>
      <c r="Y28" s="14" t="s">
        <v>109</v>
      </c>
      <c r="Z28" s="14" t="s">
        <v>85</v>
      </c>
      <c r="AA28" s="14" t="s">
        <v>110</v>
      </c>
      <c r="AB28" s="14" t="s">
        <v>111</v>
      </c>
      <c r="AC28" s="14" t="s">
        <v>112</v>
      </c>
      <c r="AD28" s="14" t="s">
        <v>113</v>
      </c>
    </row>
    <row r="29" spans="1:71" ht="13.5" customHeight="1" thickBot="1">
      <c r="A29" s="26">
        <v>11</v>
      </c>
      <c r="B29" s="33">
        <v>6</v>
      </c>
      <c r="C29" s="34" t="str">
        <f>'Chaves 1a.Fase'!C15</f>
        <v>EVERTON</v>
      </c>
      <c r="D29" s="88">
        <v>1</v>
      </c>
      <c r="E29" s="87">
        <v>2</v>
      </c>
      <c r="F29" s="35" t="str">
        <f>'Chaves 1a.Fase'!C16</f>
        <v>PUFAL</v>
      </c>
      <c r="G29" s="36" t="str">
        <f>'Chaves 1a.Fase'!B3</f>
        <v>ELIAS</v>
      </c>
      <c r="H29" s="26"/>
      <c r="I29" s="14" t="str">
        <f t="shared" si="1"/>
        <v>PUFAL</v>
      </c>
      <c r="J29" s="14" t="str">
        <f t="shared" si="2"/>
        <v>EVERTON</v>
      </c>
      <c r="V29" s="14" t="str">
        <f>'Chaves 1a.Fase'!D2</f>
        <v>LUCIANO</v>
      </c>
      <c r="W29" s="14">
        <f>COUNT(CACHOEIRA_JOGOS)</f>
        <v>3</v>
      </c>
      <c r="X29" s="14">
        <f>COUNTIF(Groupstage_Winners,'Chaves 1a.Fase'!D2)</f>
        <v>0</v>
      </c>
      <c r="Y29" s="14">
        <f>COUNTIF(Groupstage_Losers,'Chaves 1a.Fase'!D2)</f>
        <v>2</v>
      </c>
      <c r="Z29" s="14">
        <f>W29-(X29+Y29)</f>
        <v>1</v>
      </c>
      <c r="AA29" s="14">
        <f>SUM(CACHOEIRA_JOGOS)</f>
        <v>1</v>
      </c>
      <c r="AB29" s="14">
        <f>SUM(CACHOEIRA_ADV)</f>
        <v>3</v>
      </c>
      <c r="AC29" s="14">
        <f>AA29-AB29</f>
        <v>-2</v>
      </c>
      <c r="AD29" s="14">
        <f>X29*Winpoints+Z29*Drawpoints</f>
        <v>1</v>
      </c>
      <c r="AE29" s="14" t="str">
        <f>IF($AD29&gt;=$AD30,$V29,$V30)</f>
        <v>EMERSON</v>
      </c>
      <c r="AF29" s="14">
        <f>VLOOKUP($AE29,$V29:$AD32,9,FALSE)</f>
        <v>5</v>
      </c>
      <c r="AG29" s="14" t="str">
        <f>IF($AF29&gt;=$AF31,$AE29,$AE31)</f>
        <v>PAIM</v>
      </c>
      <c r="AH29" s="14">
        <f>VLOOKUP($AG29,$V29:$AD32,9,FALSE)</f>
        <v>7</v>
      </c>
      <c r="AI29" s="14" t="str">
        <f>IF($AH29&gt;=$AH32,$AG29,$AG32)</f>
        <v>PAIM</v>
      </c>
      <c r="AJ29" s="14">
        <f>VLOOKUP($AI29,$V29:$AD32,9,FALSE)</f>
        <v>7</v>
      </c>
      <c r="AK29" s="14">
        <f>VLOOKUP($AI29,$V29:$AD32,8,FALSE)</f>
        <v>2</v>
      </c>
      <c r="AL29" s="14" t="str">
        <f>IF(AND($AJ29=$AJ30,$AK30&gt;$AK29),$AI30,$AI29)</f>
        <v>PAIM</v>
      </c>
      <c r="AM29" s="14">
        <f>VLOOKUP($AL29,$V29:$AD32,9,FALSE)</f>
        <v>7</v>
      </c>
      <c r="AN29" s="14">
        <f>VLOOKUP($AL29,$V29:$AD32,8,FALSE)</f>
        <v>2</v>
      </c>
      <c r="AO29" s="14" t="str">
        <f>IF(AND($AM29=$AM31,$AN31&gt;$AN29),$AL31,$AL29)</f>
        <v>PAIM</v>
      </c>
      <c r="AP29" s="14">
        <f>VLOOKUP($AO29,$V29:$AD32,9,FALSE)</f>
        <v>7</v>
      </c>
      <c r="AQ29" s="14">
        <f>VLOOKUP($AO29,$V29:$AD32,8,FALSE)</f>
        <v>2</v>
      </c>
      <c r="AR29" s="14" t="str">
        <f>IF(AND($AP29=$AP32,$AQ32&gt;$AQ29),$AO32,$AO29)</f>
        <v>PAIM</v>
      </c>
      <c r="AS29" s="14">
        <f>VLOOKUP($AR29,$V29:$AD32,9,FALSE)</f>
        <v>7</v>
      </c>
      <c r="AT29" s="14">
        <f>VLOOKUP($AR29,$V29:$AD32,8,FALSE)</f>
        <v>2</v>
      </c>
      <c r="AU29" s="14">
        <f>VLOOKUP($AR29,$V29:$AD32,6,FALSE)</f>
        <v>2</v>
      </c>
      <c r="AV29" s="14" t="str">
        <f>IF(AND($AS29=$AS30,$AT29=$AT30,$AU30&gt;$AU29),$AR30,$AR29)</f>
        <v>PAIM</v>
      </c>
      <c r="AW29" s="14">
        <f>VLOOKUP($AV29,$V29:$AD32,9,FALSE)</f>
        <v>7</v>
      </c>
      <c r="AX29" s="14">
        <f>VLOOKUP($AV29,$V29:$AD32,8,FALSE)</f>
        <v>2</v>
      </c>
      <c r="AY29" s="14">
        <f>VLOOKUP($AV29,$V29:$AD32,6,FALSE)</f>
        <v>2</v>
      </c>
      <c r="AZ29" s="14" t="str">
        <f>IF(AND($AW29=$AW31,$AX29=$AX31,$AY31&gt;$AY29),$AV31,$AV29)</f>
        <v>PAIM</v>
      </c>
      <c r="BA29" s="14">
        <f>VLOOKUP($AZ29,$V29:$AD32,9,FALSE)</f>
        <v>7</v>
      </c>
      <c r="BB29" s="14">
        <f>VLOOKUP($AZ29,$V29:$AD32,8,FALSE)</f>
        <v>2</v>
      </c>
      <c r="BC29" s="14">
        <f>VLOOKUP($AZ29,$V29:$AD32,6,FALSE)</f>
        <v>2</v>
      </c>
      <c r="BD29" s="14" t="str">
        <f>IF(AND($BA29=$BA32,$BB29=$BB32,$BC32&gt;$BC29),$AZ32,$AZ29)</f>
        <v>PAIM</v>
      </c>
      <c r="BE29" s="14">
        <f>VLOOKUP($BD29,$V29:$AD32,9,FALSE)</f>
        <v>7</v>
      </c>
      <c r="BF29" s="14">
        <f>VLOOKUP($BD29,$V29:$AD32,8,FALSE)</f>
        <v>2</v>
      </c>
      <c r="BG29" s="14">
        <f>VLOOKUP($BD29,$V29:$AD32,6,FALSE)</f>
        <v>2</v>
      </c>
      <c r="BK29" s="14" t="str">
        <f>BD29</f>
        <v>PAIM</v>
      </c>
      <c r="BL29" s="14">
        <f>VLOOKUP($BK29,$V29:$AD32,2,FALSE)</f>
        <v>3</v>
      </c>
      <c r="BM29" s="14">
        <f>VLOOKUP($BK29,$V29:$AD32,3,FALSE)</f>
        <v>2</v>
      </c>
      <c r="BN29" s="14">
        <f>VLOOKUP($BK29,$V29:$AD32,4,FALSE)</f>
        <v>0</v>
      </c>
      <c r="BO29" s="14">
        <f>VLOOKUP($BK29,$V29:$AD32,5,FALSE)</f>
        <v>1</v>
      </c>
      <c r="BP29" s="14">
        <f>VLOOKUP($BK29,$V29:$AD32,6,FALSE)</f>
        <v>2</v>
      </c>
      <c r="BQ29" s="14">
        <f>VLOOKUP($BK29,$V29:$AD32,7,FALSE)</f>
        <v>0</v>
      </c>
      <c r="BR29" s="14">
        <f>VLOOKUP($BK29,$V29:$AD32,8,FALSE)</f>
        <v>2</v>
      </c>
      <c r="BS29" s="14">
        <f>VLOOKUP($BK29,$V29:$AD32,9,FALSE)</f>
        <v>7</v>
      </c>
    </row>
    <row r="30" spans="1:71" ht="13.5" customHeight="1" thickBot="1">
      <c r="A30" s="26">
        <v>12</v>
      </c>
      <c r="B30" s="33">
        <v>7</v>
      </c>
      <c r="C30" s="34" t="str">
        <f>'Chaves 1a.Fase'!D14</f>
        <v>CRISTIANO</v>
      </c>
      <c r="D30" s="88">
        <v>0</v>
      </c>
      <c r="E30" s="87">
        <v>0</v>
      </c>
      <c r="F30" s="35" t="str">
        <f>'Chaves 1a.Fase'!D17</f>
        <v>DUDA</v>
      </c>
      <c r="G30" s="36" t="str">
        <f>'Chaves 1a.Fase'!B4</f>
        <v>ALDYR</v>
      </c>
      <c r="H30" s="26"/>
      <c r="I30" s="14" t="str">
        <f t="shared" si="1"/>
        <v>Draw</v>
      </c>
      <c r="J30" s="14" t="str">
        <f t="shared" si="2"/>
        <v>Draw</v>
      </c>
      <c r="L30" s="19" t="s">
        <v>20</v>
      </c>
      <c r="M30" s="20"/>
      <c r="N30" s="20"/>
      <c r="O30" s="20"/>
      <c r="P30" s="20"/>
      <c r="Q30" s="20"/>
      <c r="R30" s="20"/>
      <c r="S30" s="20"/>
      <c r="T30" s="21"/>
      <c r="V30" s="14" t="str">
        <f>'Chaves 1a.Fase'!D3</f>
        <v>EMERSON</v>
      </c>
      <c r="W30" s="14">
        <f>COUNT(CHARQUEADAS_JOGOS)</f>
        <v>3</v>
      </c>
      <c r="X30" s="14">
        <f>COUNTIF(Groupstage_Winners,'Chaves 1a.Fase'!D3)</f>
        <v>1</v>
      </c>
      <c r="Y30" s="14">
        <f>COUNTIF(Groupstage_Losers,'Chaves 1a.Fase'!D3)</f>
        <v>0</v>
      </c>
      <c r="Z30" s="14">
        <f>W30-(X30+Y30)</f>
        <v>2</v>
      </c>
      <c r="AA30" s="14">
        <f>SUM(CHARQUEADAS_JOGOS)</f>
        <v>2</v>
      </c>
      <c r="AB30" s="14">
        <f>SUM(CHARQUEADAS_ADV)</f>
        <v>1</v>
      </c>
      <c r="AC30" s="14">
        <f>AA30-AB30</f>
        <v>1</v>
      </c>
      <c r="AD30" s="14">
        <f>X30*Winpoints+Z30*Drawpoints</f>
        <v>5</v>
      </c>
      <c r="AE30" s="14" t="str">
        <f>IF($AD30&lt;=$AD29,$V30,$V29)</f>
        <v>LUCIANO</v>
      </c>
      <c r="AF30" s="14">
        <f>VLOOKUP($AE30,$V29:$AD32,9,FALSE)</f>
        <v>1</v>
      </c>
      <c r="AG30" s="14" t="str">
        <f>IF(AF30&gt;=AF32,AE30,AE32)</f>
        <v>JULIO</v>
      </c>
      <c r="AH30" s="14">
        <f>VLOOKUP($AG30,$V29:$AD32,9,FALSE)</f>
        <v>3</v>
      </c>
      <c r="AI30" s="14" t="str">
        <f>IF($AH30&gt;=$AH31,$AG30,$AG31)</f>
        <v>EMERSON</v>
      </c>
      <c r="AJ30" s="14">
        <f>VLOOKUP($AI30,$V29:$AD32,9,FALSE)</f>
        <v>5</v>
      </c>
      <c r="AK30" s="14">
        <f>VLOOKUP($AI30,$V29:$AD32,8,FALSE)</f>
        <v>1</v>
      </c>
      <c r="AL30" s="14" t="str">
        <f>IF(AND($AJ29=$AJ30,$AK30&gt;$AK29),$AI29,$AI30)</f>
        <v>EMERSON</v>
      </c>
      <c r="AM30" s="14">
        <f>VLOOKUP($AL30,$V29:$AD32,9,FALSE)</f>
        <v>5</v>
      </c>
      <c r="AN30" s="14">
        <f>VLOOKUP($AL30,$V29:$AD32,8,FALSE)</f>
        <v>1</v>
      </c>
      <c r="AO30" s="14" t="str">
        <f>IF(AND($AM30=$AM32,$AN32&gt;$AN30),$AL32,$AL30)</f>
        <v>EMERSON</v>
      </c>
      <c r="AP30" s="14">
        <f>VLOOKUP($AO30,$V29:$AD32,9,FALSE)</f>
        <v>5</v>
      </c>
      <c r="AQ30" s="14">
        <f>VLOOKUP($AO30,$V29:$AD32,8,FALSE)</f>
        <v>1</v>
      </c>
      <c r="AR30" s="14" t="str">
        <f>IF(AND($AP30=$AP31,$AQ31&gt;$AQ30),$AO31,$AO30)</f>
        <v>EMERSON</v>
      </c>
      <c r="AS30" s="14">
        <f>VLOOKUP($AR30,$V29:$AD32,9,FALSE)</f>
        <v>5</v>
      </c>
      <c r="AT30" s="14">
        <f>VLOOKUP($AR30,$V29:$AD32,8,FALSE)</f>
        <v>1</v>
      </c>
      <c r="AU30" s="14">
        <f>VLOOKUP($AR30,$V29:$AD32,6,FALSE)</f>
        <v>2</v>
      </c>
      <c r="AV30" s="14" t="str">
        <f>IF(AND($AS29=$AS30,$AT29=$AT30,$AU30&gt;$AU29),$AR29,$AR30)</f>
        <v>EMERSON</v>
      </c>
      <c r="AW30" s="14">
        <f>VLOOKUP($AV30,$V29:$AD32,9,FALSE)</f>
        <v>5</v>
      </c>
      <c r="AX30" s="14">
        <f>VLOOKUP($AV30,$V29:$AD32,8,FALSE)</f>
        <v>1</v>
      </c>
      <c r="AY30" s="14">
        <f>VLOOKUP($AV30,$V29:$AD32,6,FALSE)</f>
        <v>2</v>
      </c>
      <c r="AZ30" s="14" t="str">
        <f>IF(AND($AW30=$AW32,$AX30=$AX32,$AY32&gt;$AY30),$AV32,$AV30)</f>
        <v>EMERSON</v>
      </c>
      <c r="BA30" s="14">
        <f>VLOOKUP($AZ30,$V29:$AD32,9,FALSE)</f>
        <v>5</v>
      </c>
      <c r="BB30" s="14">
        <f>VLOOKUP($AZ30,$V29:$AD32,8,FALSE)</f>
        <v>1</v>
      </c>
      <c r="BC30" s="14">
        <f>VLOOKUP($AZ30,$V29:$AD32,6,FALSE)</f>
        <v>2</v>
      </c>
      <c r="BD30" s="14" t="str">
        <f>IF(AND($BA30=$BA31,$BB30=$BB31,$BC31&gt;$BC30),$AZ31,$AZ30)</f>
        <v>EMERSON</v>
      </c>
      <c r="BE30" s="14">
        <f>VLOOKUP($BD30,$V29:$AD32,9,FALSE)</f>
        <v>5</v>
      </c>
      <c r="BF30" s="14">
        <f>VLOOKUP($BD30,$V29:$AD32,8,FALSE)</f>
        <v>1</v>
      </c>
      <c r="BG30" s="14">
        <f>VLOOKUP($BD30,$V29:$AD32,6,FALSE)</f>
        <v>2</v>
      </c>
      <c r="BK30" s="14" t="str">
        <f>BD30</f>
        <v>EMERSON</v>
      </c>
      <c r="BL30" s="14">
        <f>VLOOKUP($BK30,$V29:$AD32,2,FALSE)</f>
        <v>3</v>
      </c>
      <c r="BM30" s="14">
        <f>VLOOKUP($BK30,$V29:$AD32,3,FALSE)</f>
        <v>1</v>
      </c>
      <c r="BN30" s="14">
        <f>VLOOKUP($BK30,$V29:$AD32,4,FALSE)</f>
        <v>0</v>
      </c>
      <c r="BO30" s="14">
        <f>VLOOKUP($BK30,$V29:$AD32,5,FALSE)</f>
        <v>2</v>
      </c>
      <c r="BP30" s="14">
        <f>VLOOKUP($BK30,$V29:$AD32,6,FALSE)</f>
        <v>2</v>
      </c>
      <c r="BQ30" s="14">
        <f>VLOOKUP($BK30,$V29:$AD32,7,FALSE)</f>
        <v>1</v>
      </c>
      <c r="BR30" s="14">
        <f>VLOOKUP($BK30,$V29:$AD32,8,FALSE)</f>
        <v>1</v>
      </c>
      <c r="BS30" s="14">
        <f>VLOOKUP($BK30,$V29:$AD32,9,FALSE)</f>
        <v>5</v>
      </c>
    </row>
    <row r="31" spans="1:71" ht="13.5" customHeight="1" thickBot="1">
      <c r="A31" s="26">
        <v>12</v>
      </c>
      <c r="B31" s="33">
        <v>8</v>
      </c>
      <c r="C31" s="34" t="str">
        <f>'Chaves 1a.Fase'!D15</f>
        <v>VINHAS</v>
      </c>
      <c r="D31" s="88">
        <v>0</v>
      </c>
      <c r="E31" s="87">
        <v>0</v>
      </c>
      <c r="F31" s="35" t="str">
        <f>'Chaves 1a.Fase'!D16</f>
        <v>LEANDRO</v>
      </c>
      <c r="G31" s="36" t="str">
        <f>'Chaves 1a.Fase'!B5</f>
        <v>BETÃO</v>
      </c>
      <c r="H31" s="26"/>
      <c r="I31" s="14" t="str">
        <f t="shared" si="1"/>
        <v>Draw</v>
      </c>
      <c r="J31" s="14" t="str">
        <f t="shared" si="2"/>
        <v>Draw</v>
      </c>
      <c r="L31" s="22"/>
      <c r="M31" s="23" t="s">
        <v>83</v>
      </c>
      <c r="N31" s="23" t="s">
        <v>84</v>
      </c>
      <c r="O31" s="23" t="s">
        <v>85</v>
      </c>
      <c r="P31" s="23" t="s">
        <v>86</v>
      </c>
      <c r="Q31" s="23" t="s">
        <v>87</v>
      </c>
      <c r="R31" s="23" t="s">
        <v>88</v>
      </c>
      <c r="S31" s="23" t="s">
        <v>89</v>
      </c>
      <c r="T31" s="24" t="s">
        <v>90</v>
      </c>
      <c r="V31" s="14" t="str">
        <f>'Chaves 1a.Fase'!D4</f>
        <v>PAIM</v>
      </c>
      <c r="W31" s="14">
        <f>COUNT(LAVRAS_JOGOS)</f>
        <v>3</v>
      </c>
      <c r="X31" s="14">
        <f>COUNTIF(Groupstage_Winners,'Chaves 1a.Fase'!D4)</f>
        <v>2</v>
      </c>
      <c r="Y31" s="14">
        <f>COUNTIF(Groupstage_Losers,'Chaves 1a.Fase'!D4)</f>
        <v>0</v>
      </c>
      <c r="Z31" s="14">
        <f>W31-(X31+Y31)</f>
        <v>1</v>
      </c>
      <c r="AA31" s="14">
        <f>SUM(LAVRAS_JOGOS)</f>
        <v>2</v>
      </c>
      <c r="AB31" s="14">
        <f>SUM(LAVRAS_ADV)</f>
        <v>0</v>
      </c>
      <c r="AC31" s="14">
        <f>AA31-AB31</f>
        <v>2</v>
      </c>
      <c r="AD31" s="14">
        <f>X31*Winpoints+Z31*Drawpoints</f>
        <v>7</v>
      </c>
      <c r="AE31" s="14" t="str">
        <f>IF($AD31&gt;=$AD32,$V31,$V32)</f>
        <v>PAIM</v>
      </c>
      <c r="AF31" s="14">
        <f>VLOOKUP($AE31,$V29:$AD32,9,FALSE)</f>
        <v>7</v>
      </c>
      <c r="AG31" s="14" t="str">
        <f>IF($AF31&lt;=$AF29,$AE31,$AE29)</f>
        <v>EMERSON</v>
      </c>
      <c r="AH31" s="14">
        <f>VLOOKUP($AG31,$V29:$AD32,9,FALSE)</f>
        <v>5</v>
      </c>
      <c r="AI31" s="14" t="str">
        <f>IF($AH31&lt;=$AH30,$AG31,$AG30)</f>
        <v>JULIO</v>
      </c>
      <c r="AJ31" s="14">
        <f>VLOOKUP($AI31,$V29:$AD32,9,FALSE)</f>
        <v>3</v>
      </c>
      <c r="AK31" s="14">
        <f>VLOOKUP($AI31,$V29:$AD32,8,FALSE)</f>
        <v>-1</v>
      </c>
      <c r="AL31" s="14" t="str">
        <f>IF(AND($AJ31=$AJ32,$AK32&gt;$AK31),$AI32,$AI31)</f>
        <v>JULIO</v>
      </c>
      <c r="AM31" s="14">
        <f>VLOOKUP($AL31,$V29:$AD32,9,FALSE)</f>
        <v>3</v>
      </c>
      <c r="AN31" s="14">
        <f>VLOOKUP($AL31,$V29:$AD32,8,FALSE)</f>
        <v>-1</v>
      </c>
      <c r="AO31" s="14" t="str">
        <f>IF(AND($AM29=$AM31,$AN31&gt;$AN29),$AL29,$AL31)</f>
        <v>JULIO</v>
      </c>
      <c r="AP31" s="14">
        <f>VLOOKUP($AO31,$V29:$AD32,9,FALSE)</f>
        <v>3</v>
      </c>
      <c r="AQ31" s="14">
        <f>VLOOKUP($AO31,$V29:$AD32,8,FALSE)</f>
        <v>-1</v>
      </c>
      <c r="AR31" s="14" t="str">
        <f>IF(AND($AP30=$AP31,$AQ31&gt;$AQ30),$AO30,$AO31)</f>
        <v>JULIO</v>
      </c>
      <c r="AS31" s="14">
        <f>VLOOKUP($AR31,$V29:$AD32,9,FALSE)</f>
        <v>3</v>
      </c>
      <c r="AT31" s="14">
        <f>VLOOKUP($AR31,$V29:$AD32,8,FALSE)</f>
        <v>-1</v>
      </c>
      <c r="AU31" s="14">
        <f>VLOOKUP($AR31,$V29:$AD32,6,FALSE)</f>
        <v>1</v>
      </c>
      <c r="AV31" s="14" t="str">
        <f>IF(AND($AS31=$AS32,$AT31=$AT32,$AU32&gt;$AU31),$AR32,$AR31)</f>
        <v>JULIO</v>
      </c>
      <c r="AW31" s="14">
        <f>VLOOKUP($AV31,$V29:$AD32,9,FALSE)</f>
        <v>3</v>
      </c>
      <c r="AX31" s="14">
        <f>VLOOKUP($AV31,$V29:$AD32,8,FALSE)</f>
        <v>-1</v>
      </c>
      <c r="AY31" s="14">
        <f>VLOOKUP($AV31,$V29:$AD32,6,FALSE)</f>
        <v>1</v>
      </c>
      <c r="AZ31" s="14" t="str">
        <f>IF(AND($AW29=$AW31,$AX29=$AX31,$AY31&gt;$AY29),$AV29,$AV31)</f>
        <v>JULIO</v>
      </c>
      <c r="BA31" s="14">
        <f>VLOOKUP($AZ31,$V29:$AD32,9,FALSE)</f>
        <v>3</v>
      </c>
      <c r="BB31" s="14">
        <f>VLOOKUP($AZ31,$V29:$AD32,8,FALSE)</f>
        <v>-1</v>
      </c>
      <c r="BC31" s="14">
        <f>VLOOKUP($AZ31,$V29:$AD32,6,FALSE)</f>
        <v>1</v>
      </c>
      <c r="BD31" s="14" t="str">
        <f>IF(AND($BA30=$BA31,$BB30=$BB31,$BC31&gt;$BC30),$AZ30,$AZ31)</f>
        <v>JULIO</v>
      </c>
      <c r="BE31" s="14">
        <f>VLOOKUP($BD31,$V29:$AD32,9,FALSE)</f>
        <v>3</v>
      </c>
      <c r="BF31" s="14">
        <f>VLOOKUP($BD31,$V29:$AD32,8,FALSE)</f>
        <v>-1</v>
      </c>
      <c r="BG31" s="14">
        <f>VLOOKUP($BD31,$V29:$AD32,6,FALSE)</f>
        <v>1</v>
      </c>
      <c r="BK31" s="14" t="str">
        <f>BD31</f>
        <v>JULIO</v>
      </c>
      <c r="BL31" s="14">
        <f>VLOOKUP($BK31,$V29:$AD32,2,FALSE)</f>
        <v>3</v>
      </c>
      <c r="BM31" s="14">
        <f>VLOOKUP($BK31,$V29:$AD32,3,FALSE)</f>
        <v>1</v>
      </c>
      <c r="BN31" s="14">
        <f>VLOOKUP($BK31,$V29:$AD32,4,FALSE)</f>
        <v>2</v>
      </c>
      <c r="BO31" s="14">
        <f>VLOOKUP($BK31,$V29:$AD32,5,FALSE)</f>
        <v>0</v>
      </c>
      <c r="BP31" s="14">
        <f>VLOOKUP($BK31,$V29:$AD32,6,FALSE)</f>
        <v>1</v>
      </c>
      <c r="BQ31" s="14">
        <f>VLOOKUP($BK31,$V29:$AD32,7,FALSE)</f>
        <v>2</v>
      </c>
      <c r="BR31" s="14">
        <f>VLOOKUP($BK31,$V29:$AD32,8,FALSE)</f>
        <v>-1</v>
      </c>
      <c r="BS31" s="14">
        <f>VLOOKUP($BK31,$V29:$AD32,9,FALSE)</f>
        <v>3</v>
      </c>
    </row>
    <row r="32" spans="1:71" ht="13.5" customHeight="1" thickBot="1">
      <c r="A32" s="26">
        <v>13</v>
      </c>
      <c r="B32" s="33">
        <v>9</v>
      </c>
      <c r="C32" s="34" t="str">
        <f>'Chaves 1a.Fase'!A20</f>
        <v>JORGITO</v>
      </c>
      <c r="D32" s="88">
        <v>0</v>
      </c>
      <c r="E32" s="87">
        <v>1</v>
      </c>
      <c r="F32" s="35" t="str">
        <f>'Chaves 1a.Fase'!A23</f>
        <v>VINÍCIUS</v>
      </c>
      <c r="G32" s="36" t="str">
        <f>'Chaves 1a.Fase'!C2</f>
        <v>RODRIGO B.</v>
      </c>
      <c r="H32" s="26"/>
      <c r="I32" s="14" t="str">
        <f t="shared" si="1"/>
        <v>VINÍCIUS</v>
      </c>
      <c r="J32" s="14" t="str">
        <f t="shared" si="2"/>
        <v>JORGITO</v>
      </c>
      <c r="L32" s="25" t="str">
        <f aca="true" t="shared" si="6" ref="L32:T35">BK36</f>
        <v>MICHEL</v>
      </c>
      <c r="M32" s="26">
        <f t="shared" si="6"/>
        <v>3</v>
      </c>
      <c r="N32" s="26">
        <f t="shared" si="6"/>
        <v>2</v>
      </c>
      <c r="O32" s="26">
        <f t="shared" si="6"/>
        <v>0</v>
      </c>
      <c r="P32" s="26">
        <f t="shared" si="6"/>
        <v>1</v>
      </c>
      <c r="Q32" s="26">
        <f t="shared" si="6"/>
        <v>3</v>
      </c>
      <c r="R32" s="26">
        <f t="shared" si="6"/>
        <v>0</v>
      </c>
      <c r="S32" s="26">
        <f t="shared" si="6"/>
        <v>3</v>
      </c>
      <c r="T32" s="27">
        <f t="shared" si="6"/>
        <v>7</v>
      </c>
      <c r="V32" s="14" t="str">
        <f>'Chaves 1a.Fase'!D5</f>
        <v>JULIO</v>
      </c>
      <c r="W32" s="14">
        <f>COUNT(CAMAQUÃ_JOGOS)</f>
        <v>3</v>
      </c>
      <c r="X32" s="14">
        <f>COUNTIF(Groupstage_Winners,'Chaves 1a.Fase'!D5)</f>
        <v>1</v>
      </c>
      <c r="Y32" s="14">
        <f>COUNTIF(Groupstage_Losers,'Chaves 1a.Fase'!D5)</f>
        <v>2</v>
      </c>
      <c r="Z32" s="14">
        <f>W32-(X32+Y32)</f>
        <v>0</v>
      </c>
      <c r="AA32" s="14">
        <f>SUM(CAMAQUÃ_JOGOS)</f>
        <v>1</v>
      </c>
      <c r="AB32" s="14">
        <f>SUM(CAMAQUÃ_ADV)</f>
        <v>2</v>
      </c>
      <c r="AC32" s="14">
        <f>AA32-AB32</f>
        <v>-1</v>
      </c>
      <c r="AD32" s="14">
        <f>X32*Winpoints+Z32*Drawpoints</f>
        <v>3</v>
      </c>
      <c r="AE32" s="14" t="str">
        <f>IF($AD32&lt;=$AD31,$V32,$V31)</f>
        <v>JULIO</v>
      </c>
      <c r="AF32" s="14">
        <f>VLOOKUP($AE32,$V29:$AD32,9,FALSE)</f>
        <v>3</v>
      </c>
      <c r="AG32" s="14" t="str">
        <f>IF(AF32&lt;=AF30,AE32,AE30)</f>
        <v>LUCIANO</v>
      </c>
      <c r="AH32" s="14">
        <f>VLOOKUP($AG32,$V29:$AD32,9,FALSE)</f>
        <v>1</v>
      </c>
      <c r="AI32" s="14" t="str">
        <f>IF($AH32&lt;=$AH29,$AG32,$AG29)</f>
        <v>LUCIANO</v>
      </c>
      <c r="AJ32" s="14">
        <f>VLOOKUP($AI32,$V29:$AD32,9,FALSE)</f>
        <v>1</v>
      </c>
      <c r="AK32" s="14">
        <f>VLOOKUP($AI32,$V29:$AD32,8,FALSE)</f>
        <v>-2</v>
      </c>
      <c r="AL32" s="14" t="str">
        <f>IF(AND($AJ31=$AJ32,$AK32&gt;$AK31),$AI31,$AI32)</f>
        <v>LUCIANO</v>
      </c>
      <c r="AM32" s="14">
        <f>VLOOKUP($AL32,$V29:$AD32,9,FALSE)</f>
        <v>1</v>
      </c>
      <c r="AN32" s="14">
        <f>VLOOKUP($AL32,$V29:$AD32,8,FALSE)</f>
        <v>-2</v>
      </c>
      <c r="AO32" s="14" t="str">
        <f>IF(AND($AM30=$AM32,$AN32&gt;$AN30),$AL30,$AL32)</f>
        <v>LUCIANO</v>
      </c>
      <c r="AP32" s="14">
        <f>VLOOKUP($AO32,$V29:$AD32,9,FALSE)</f>
        <v>1</v>
      </c>
      <c r="AQ32" s="14">
        <f>VLOOKUP($AO32,$V29:$AD32,8,FALSE)</f>
        <v>-2</v>
      </c>
      <c r="AR32" s="14" t="str">
        <f>IF(AND($AP29=$AP32,$AQ32&gt;$AQ29),$AO29,$AO32)</f>
        <v>LUCIANO</v>
      </c>
      <c r="AS32" s="14">
        <f>VLOOKUP($AR32,$V29:$AD32,9,FALSE)</f>
        <v>1</v>
      </c>
      <c r="AT32" s="14">
        <f>VLOOKUP($AR32,$V29:$AD32,8,FALSE)</f>
        <v>-2</v>
      </c>
      <c r="AU32" s="14">
        <f>VLOOKUP($AR32,$V29:$AD32,6,FALSE)</f>
        <v>1</v>
      </c>
      <c r="AV32" s="14" t="str">
        <f>IF(AND($AS31=$AS32,$AT31=$AT32,$AU32&gt;$AU31),$AR31,$AR32)</f>
        <v>LUCIANO</v>
      </c>
      <c r="AW32" s="14">
        <f>VLOOKUP($AV32,$V29:$AD32,9,FALSE)</f>
        <v>1</v>
      </c>
      <c r="AX32" s="14">
        <f>VLOOKUP($AV32,$V29:$AD32,8,FALSE)</f>
        <v>-2</v>
      </c>
      <c r="AY32" s="14">
        <f>VLOOKUP($AV32,$V29:$AD32,6,FALSE)</f>
        <v>1</v>
      </c>
      <c r="AZ32" s="14" t="str">
        <f>IF(AND($AW30=$AW32,$AX30=$AX32,$AY32&gt;$AY30),$AV30,$AV32)</f>
        <v>LUCIANO</v>
      </c>
      <c r="BA32" s="14">
        <f>VLOOKUP($AZ32,$V29:$AD32,9,FALSE)</f>
        <v>1</v>
      </c>
      <c r="BB32" s="14">
        <f>VLOOKUP($AZ32,$V29:$AD32,8,FALSE)</f>
        <v>-2</v>
      </c>
      <c r="BC32" s="14">
        <f>VLOOKUP($AZ32,$V29:$AD32,6,FALSE)</f>
        <v>1</v>
      </c>
      <c r="BD32" s="14" t="str">
        <f>IF(AND($BA29=$BA32,$BB29=$BB32,$BC32&gt;$BC29),$AZ29,$AZ32)</f>
        <v>LUCIANO</v>
      </c>
      <c r="BE32" s="14">
        <f>VLOOKUP($BD32,$V29:$AD32,9,FALSE)</f>
        <v>1</v>
      </c>
      <c r="BF32" s="14">
        <f>VLOOKUP($BD32,$V29:$AD32,8,FALSE)</f>
        <v>-2</v>
      </c>
      <c r="BG32" s="14">
        <f>VLOOKUP($BD32,$V29:$AD32,6,FALSE)</f>
        <v>1</v>
      </c>
      <c r="BK32" s="14" t="str">
        <f>BD32</f>
        <v>LUCIANO</v>
      </c>
      <c r="BL32" s="14">
        <f>VLOOKUP($BK32,$V29:$AD32,2,FALSE)</f>
        <v>3</v>
      </c>
      <c r="BM32" s="14">
        <f>VLOOKUP($BK32,$V29:$AD32,3,FALSE)</f>
        <v>0</v>
      </c>
      <c r="BN32" s="14">
        <f>VLOOKUP($BK32,$V29:$AD32,4,FALSE)</f>
        <v>2</v>
      </c>
      <c r="BO32" s="14">
        <f>VLOOKUP($BK32,$V29:$AD32,5,FALSE)</f>
        <v>1</v>
      </c>
      <c r="BP32" s="14">
        <f>VLOOKUP($BK32,$V29:$AD32,6,FALSE)</f>
        <v>1</v>
      </c>
      <c r="BQ32" s="14">
        <f>VLOOKUP($BK32,$V29:$AD32,7,FALSE)</f>
        <v>3</v>
      </c>
      <c r="BR32" s="14">
        <f>VLOOKUP($BK32,$V29:$AD32,8,FALSE)</f>
        <v>-2</v>
      </c>
      <c r="BS32" s="14">
        <f>VLOOKUP($BK32,$V29:$AD32,9,FALSE)</f>
        <v>1</v>
      </c>
    </row>
    <row r="33" spans="1:20" ht="13.5" customHeight="1" thickBot="1">
      <c r="A33" s="26">
        <v>13</v>
      </c>
      <c r="B33" s="33">
        <v>10</v>
      </c>
      <c r="C33" s="34" t="str">
        <f>'Chaves 1a.Fase'!A21</f>
        <v>EDISON</v>
      </c>
      <c r="D33" s="88">
        <v>0</v>
      </c>
      <c r="E33" s="87">
        <v>1</v>
      </c>
      <c r="F33" s="35" t="str">
        <f>'Chaves 1a.Fase'!A22</f>
        <v>BRENO</v>
      </c>
      <c r="G33" s="36" t="str">
        <f>'Chaves 1a.Fase'!C3</f>
        <v>ANTONIO</v>
      </c>
      <c r="H33" s="26"/>
      <c r="I33" s="14" t="str">
        <f t="shared" si="1"/>
        <v>BRENO</v>
      </c>
      <c r="J33" s="14" t="str">
        <f t="shared" si="2"/>
        <v>EDISON</v>
      </c>
      <c r="L33" s="25" t="str">
        <f t="shared" si="6"/>
        <v>DIOGO MALLET</v>
      </c>
      <c r="M33" s="26">
        <f t="shared" si="6"/>
        <v>3</v>
      </c>
      <c r="N33" s="26">
        <f t="shared" si="6"/>
        <v>2</v>
      </c>
      <c r="O33" s="26">
        <f t="shared" si="6"/>
        <v>1</v>
      </c>
      <c r="P33" s="26">
        <f t="shared" si="6"/>
        <v>0</v>
      </c>
      <c r="Q33" s="26">
        <f t="shared" si="6"/>
        <v>3</v>
      </c>
      <c r="R33" s="26">
        <f t="shared" si="6"/>
        <v>1</v>
      </c>
      <c r="S33" s="26">
        <f t="shared" si="6"/>
        <v>2</v>
      </c>
      <c r="T33" s="27">
        <f t="shared" si="6"/>
        <v>6</v>
      </c>
    </row>
    <row r="34" spans="1:22" ht="13.5" customHeight="1" thickBot="1">
      <c r="A34" s="26">
        <v>14</v>
      </c>
      <c r="B34" s="33">
        <v>11</v>
      </c>
      <c r="C34" s="34" t="str">
        <f>'Chaves 1a.Fase'!B20</f>
        <v>TERROZO</v>
      </c>
      <c r="D34" s="88">
        <v>0</v>
      </c>
      <c r="E34" s="87">
        <v>0</v>
      </c>
      <c r="F34" s="35" t="str">
        <f>'Chaves 1a.Fase'!B23</f>
        <v>SANDRO</v>
      </c>
      <c r="G34" s="36" t="str">
        <f>'Chaves 1a.Fase'!C4</f>
        <v>ZILBER</v>
      </c>
      <c r="H34" s="26"/>
      <c r="I34" s="14" t="str">
        <f t="shared" si="1"/>
        <v>Draw</v>
      </c>
      <c r="J34" s="14" t="str">
        <f t="shared" si="2"/>
        <v>Draw</v>
      </c>
      <c r="L34" s="25" t="str">
        <f t="shared" si="6"/>
        <v>UMBERTO</v>
      </c>
      <c r="M34" s="26">
        <f t="shared" si="6"/>
        <v>3</v>
      </c>
      <c r="N34" s="26">
        <f t="shared" si="6"/>
        <v>1</v>
      </c>
      <c r="O34" s="26">
        <f t="shared" si="6"/>
        <v>2</v>
      </c>
      <c r="P34" s="26">
        <f t="shared" si="6"/>
        <v>0</v>
      </c>
      <c r="Q34" s="26">
        <f t="shared" si="6"/>
        <v>3</v>
      </c>
      <c r="R34" s="26">
        <f t="shared" si="6"/>
        <v>4</v>
      </c>
      <c r="S34" s="26">
        <f t="shared" si="6"/>
        <v>-1</v>
      </c>
      <c r="T34" s="27">
        <f t="shared" si="6"/>
        <v>3</v>
      </c>
      <c r="V34" s="14" t="s">
        <v>120</v>
      </c>
    </row>
    <row r="35" spans="1:71" ht="13.5" customHeight="1" thickBot="1">
      <c r="A35" s="26">
        <v>14</v>
      </c>
      <c r="B35" s="33">
        <v>12</v>
      </c>
      <c r="C35" s="34" t="str">
        <f>'Chaves 1a.Fase'!B21</f>
        <v>BRANDÃO</v>
      </c>
      <c r="D35" s="88">
        <v>0</v>
      </c>
      <c r="E35" s="87">
        <v>0</v>
      </c>
      <c r="F35" s="35" t="str">
        <f>'Chaves 1a.Fase'!B22</f>
        <v>JOSÉ</v>
      </c>
      <c r="G35" s="36" t="str">
        <f>'Chaves 1a.Fase'!C5</f>
        <v>CAJU</v>
      </c>
      <c r="H35" s="26"/>
      <c r="I35" s="14" t="str">
        <f t="shared" si="1"/>
        <v>Draw</v>
      </c>
      <c r="J35" s="14" t="str">
        <f t="shared" si="2"/>
        <v>Draw</v>
      </c>
      <c r="L35" s="37" t="str">
        <f t="shared" si="6"/>
        <v>MARCOS JUNQ.</v>
      </c>
      <c r="M35" s="38">
        <f t="shared" si="6"/>
        <v>3</v>
      </c>
      <c r="N35" s="38">
        <f t="shared" si="6"/>
        <v>0</v>
      </c>
      <c r="O35" s="38">
        <f t="shared" si="6"/>
        <v>2</v>
      </c>
      <c r="P35" s="38">
        <f t="shared" si="6"/>
        <v>1</v>
      </c>
      <c r="Q35" s="38">
        <f t="shared" si="6"/>
        <v>0</v>
      </c>
      <c r="R35" s="38">
        <f t="shared" si="6"/>
        <v>4</v>
      </c>
      <c r="S35" s="38">
        <f t="shared" si="6"/>
        <v>-4</v>
      </c>
      <c r="T35" s="39">
        <f t="shared" si="6"/>
        <v>1</v>
      </c>
      <c r="W35" s="14" t="s">
        <v>107</v>
      </c>
      <c r="X35" s="14" t="s">
        <v>108</v>
      </c>
      <c r="Y35" s="14" t="s">
        <v>109</v>
      </c>
      <c r="Z35" s="14" t="s">
        <v>85</v>
      </c>
      <c r="AA35" s="14" t="s">
        <v>110</v>
      </c>
      <c r="AB35" s="14" t="s">
        <v>111</v>
      </c>
      <c r="AC35" s="14" t="s">
        <v>112</v>
      </c>
      <c r="AD35" s="14" t="s">
        <v>113</v>
      </c>
      <c r="AE35" s="14" t="s">
        <v>114</v>
      </c>
      <c r="AF35" s="14" t="s">
        <v>113</v>
      </c>
      <c r="AG35" s="14" t="s">
        <v>114</v>
      </c>
      <c r="AH35" s="14" t="s">
        <v>113</v>
      </c>
      <c r="AI35" s="14" t="s">
        <v>114</v>
      </c>
      <c r="AJ35" s="14" t="s">
        <v>113</v>
      </c>
      <c r="AK35" s="14" t="s">
        <v>112</v>
      </c>
      <c r="AL35" s="14" t="s">
        <v>114</v>
      </c>
      <c r="AM35" s="14" t="s">
        <v>113</v>
      </c>
      <c r="AN35" s="14" t="s">
        <v>112</v>
      </c>
      <c r="AO35" s="14" t="s">
        <v>114</v>
      </c>
      <c r="AP35" s="14" t="s">
        <v>113</v>
      </c>
      <c r="AQ35" s="14" t="s">
        <v>112</v>
      </c>
      <c r="AR35" s="14" t="s">
        <v>114</v>
      </c>
      <c r="AS35" s="14" t="s">
        <v>113</v>
      </c>
      <c r="AT35" s="14" t="s">
        <v>112</v>
      </c>
      <c r="AU35" s="14" t="s">
        <v>110</v>
      </c>
      <c r="AV35" s="14" t="s">
        <v>114</v>
      </c>
      <c r="AW35" s="14" t="s">
        <v>113</v>
      </c>
      <c r="AX35" s="14" t="s">
        <v>112</v>
      </c>
      <c r="AY35" s="14" t="s">
        <v>110</v>
      </c>
      <c r="AZ35" s="14" t="s">
        <v>114</v>
      </c>
      <c r="BA35" s="14" t="s">
        <v>113</v>
      </c>
      <c r="BB35" s="14" t="s">
        <v>112</v>
      </c>
      <c r="BC35" s="14" t="s">
        <v>110</v>
      </c>
      <c r="BD35" s="14" t="s">
        <v>114</v>
      </c>
      <c r="BE35" s="14" t="s">
        <v>113</v>
      </c>
      <c r="BF35" s="14" t="s">
        <v>112</v>
      </c>
      <c r="BG35" s="14" t="s">
        <v>110</v>
      </c>
      <c r="BL35" s="14" t="s">
        <v>115</v>
      </c>
      <c r="BM35" s="14" t="s">
        <v>108</v>
      </c>
      <c r="BN35" s="14" t="s">
        <v>109</v>
      </c>
      <c r="BO35" s="14" t="s">
        <v>85</v>
      </c>
      <c r="BP35" s="14" t="s">
        <v>110</v>
      </c>
      <c r="BQ35" s="14" t="s">
        <v>111</v>
      </c>
      <c r="BR35" s="14" t="s">
        <v>112</v>
      </c>
      <c r="BS35" s="14" t="s">
        <v>113</v>
      </c>
    </row>
    <row r="36" spans="1:71" ht="13.5" customHeight="1" thickBot="1">
      <c r="A36" s="44">
        <v>15</v>
      </c>
      <c r="B36" s="45">
        <v>13</v>
      </c>
      <c r="C36" s="34" t="str">
        <f>'Chaves 1a.Fase'!C20</f>
        <v>THIAGO SCH.</v>
      </c>
      <c r="D36" s="88">
        <v>1</v>
      </c>
      <c r="E36" s="88">
        <v>2</v>
      </c>
      <c r="F36" s="35" t="str">
        <f>'Chaves 1a.Fase'!C23</f>
        <v>RUI</v>
      </c>
      <c r="G36" s="35" t="str">
        <f>'Chaves 1a.Fase'!D2</f>
        <v>LUCIANO</v>
      </c>
      <c r="H36" s="44"/>
      <c r="I36" s="14" t="str">
        <f t="shared" si="1"/>
        <v>RUI</v>
      </c>
      <c r="J36" s="14" t="str">
        <f t="shared" si="2"/>
        <v>THIAGO SCH.</v>
      </c>
      <c r="V36" s="14" t="str">
        <f>'Chaves 1a.Fase'!A8</f>
        <v>MARCOS JUNQ.</v>
      </c>
      <c r="W36" s="14">
        <f>COUNT(RIO_JOGOS)</f>
        <v>3</v>
      </c>
      <c r="X36" s="14">
        <f>COUNTIF(Groupstage_Winners,'Chaves 1a.Fase'!A8)</f>
        <v>0</v>
      </c>
      <c r="Y36" s="14">
        <f>COUNTIF(Groupstage_Losers,'Chaves 1a.Fase'!A8)</f>
        <v>2</v>
      </c>
      <c r="Z36" s="14">
        <f>W36-(X36+Y36)</f>
        <v>1</v>
      </c>
      <c r="AA36" s="14">
        <f>SUM(RIO_JOGOS)</f>
        <v>0</v>
      </c>
      <c r="AB36" s="14">
        <f>SUM(RIO_ADV)</f>
        <v>4</v>
      </c>
      <c r="AC36" s="14">
        <f>AA36-AB36</f>
        <v>-4</v>
      </c>
      <c r="AD36" s="14">
        <f>X36*Winpoints+Z36*Drawpoints</f>
        <v>1</v>
      </c>
      <c r="AE36" s="14" t="str">
        <f>IF($AD36&gt;=$AD37,$V36,$V37)</f>
        <v>MICHEL</v>
      </c>
      <c r="AF36" s="14">
        <f>VLOOKUP($AE36,$V36:$AD39,9,FALSE)</f>
        <v>7</v>
      </c>
      <c r="AG36" s="14" t="str">
        <f>IF($AF36&gt;=$AF38,$AE36,$AE38)</f>
        <v>MICHEL</v>
      </c>
      <c r="AH36" s="14">
        <f>VLOOKUP($AG36,$V36:$AD39,9,FALSE)</f>
        <v>7</v>
      </c>
      <c r="AI36" s="14" t="str">
        <f>IF($AH36&gt;=$AH39,$AG36,$AG39)</f>
        <v>MICHEL</v>
      </c>
      <c r="AJ36" s="14">
        <f>VLOOKUP($AI36,$V36:$AD39,9,FALSE)</f>
        <v>7</v>
      </c>
      <c r="AK36" s="14">
        <f>VLOOKUP($AI36,$V36:$AD39,8,FALSE)</f>
        <v>3</v>
      </c>
      <c r="AL36" s="14" t="str">
        <f>IF(AND($AJ36=$AJ37,$AK37&gt;$AK36),$AI37,$AI36)</f>
        <v>MICHEL</v>
      </c>
      <c r="AM36" s="14">
        <f>VLOOKUP($AL36,$V36:$AD39,9,FALSE)</f>
        <v>7</v>
      </c>
      <c r="AN36" s="14">
        <f>VLOOKUP($AL36,$V36:$AD39,8,FALSE)</f>
        <v>3</v>
      </c>
      <c r="AO36" s="14" t="str">
        <f>IF(AND($AM36=$AM38,$AN38&gt;$AN36),$AL38,$AL36)</f>
        <v>MICHEL</v>
      </c>
      <c r="AP36" s="14">
        <f>VLOOKUP($AO36,$V36:$AD39,9,FALSE)</f>
        <v>7</v>
      </c>
      <c r="AQ36" s="14">
        <f>VLOOKUP($AO36,$V36:$AD39,8,FALSE)</f>
        <v>3</v>
      </c>
      <c r="AR36" s="14" t="str">
        <f>IF(AND($AP36=$AP39,$AQ39&gt;$AQ36),$AO39,$AO36)</f>
        <v>MICHEL</v>
      </c>
      <c r="AS36" s="14">
        <f>VLOOKUP($AR36,$V36:$AD39,9,FALSE)</f>
        <v>7</v>
      </c>
      <c r="AT36" s="14">
        <f>VLOOKUP($AR36,$V36:$AD39,8,FALSE)</f>
        <v>3</v>
      </c>
      <c r="AU36" s="14">
        <f>VLOOKUP($AR36,$V36:$AD39,6,FALSE)</f>
        <v>3</v>
      </c>
      <c r="AV36" s="14" t="str">
        <f>IF(AND($AS36=$AS37,$AT36=$AT37,$AU37&gt;$AU36),$AR37,$AR36)</f>
        <v>MICHEL</v>
      </c>
      <c r="AW36" s="14">
        <f>VLOOKUP($AV36,$V36:$AD39,9,FALSE)</f>
        <v>7</v>
      </c>
      <c r="AX36" s="14">
        <f>VLOOKUP($AV36,$V36:$AD39,8,FALSE)</f>
        <v>3</v>
      </c>
      <c r="AY36" s="14">
        <f>VLOOKUP($AV36,$V36:$AD39,6,FALSE)</f>
        <v>3</v>
      </c>
      <c r="AZ36" s="14" t="str">
        <f>IF(AND($AW36=$AW38,$AX36=$AX38,$AY38&gt;$AY36),$AV38,$AV36)</f>
        <v>MICHEL</v>
      </c>
      <c r="BA36" s="14">
        <f>VLOOKUP($AZ36,$V36:$AD39,9,FALSE)</f>
        <v>7</v>
      </c>
      <c r="BB36" s="14">
        <f>VLOOKUP($AZ36,$V36:$AD39,8,FALSE)</f>
        <v>3</v>
      </c>
      <c r="BC36" s="14">
        <f>VLOOKUP($AZ36,$V36:$AD39,6,FALSE)</f>
        <v>3</v>
      </c>
      <c r="BD36" s="14" t="str">
        <f>IF(AND($BA36=$BA39,$BB36=$BB39,$BC39&gt;$BC36),$AZ39,$AZ36)</f>
        <v>MICHEL</v>
      </c>
      <c r="BE36" s="14">
        <f>VLOOKUP($BD36,$V36:$AD39,9,FALSE)</f>
        <v>7</v>
      </c>
      <c r="BF36" s="14">
        <f>VLOOKUP($BD36,$V36:$AD39,8,FALSE)</f>
        <v>3</v>
      </c>
      <c r="BG36" s="14">
        <f>VLOOKUP($BD36,$V36:$AD39,6,FALSE)</f>
        <v>3</v>
      </c>
      <c r="BK36" s="14" t="str">
        <f>BD36</f>
        <v>MICHEL</v>
      </c>
      <c r="BL36" s="14">
        <f>VLOOKUP($BK36,$V36:$AD39,2,FALSE)</f>
        <v>3</v>
      </c>
      <c r="BM36" s="14">
        <f>VLOOKUP($BK36,$V36:$AD39,3,FALSE)</f>
        <v>2</v>
      </c>
      <c r="BN36" s="14">
        <f>VLOOKUP($BK36,$V36:$AD39,4,FALSE)</f>
        <v>0</v>
      </c>
      <c r="BO36" s="14">
        <f>VLOOKUP($BK36,$V36:$AD39,5,FALSE)</f>
        <v>1</v>
      </c>
      <c r="BP36" s="14">
        <f>VLOOKUP($BK36,$V36:$AD39,6,FALSE)</f>
        <v>3</v>
      </c>
      <c r="BQ36" s="14">
        <f>VLOOKUP($BK36,$V36:$AD39,7,FALSE)</f>
        <v>0</v>
      </c>
      <c r="BR36" s="14">
        <f>VLOOKUP($BK36,$V36:$AD39,8,FALSE)</f>
        <v>3</v>
      </c>
      <c r="BS36" s="14">
        <f>VLOOKUP($BK36,$V36:$AD39,9,FALSE)</f>
        <v>7</v>
      </c>
    </row>
    <row r="37" spans="1:71" ht="13.5" customHeight="1" thickBot="1">
      <c r="A37" s="26">
        <v>15</v>
      </c>
      <c r="B37" s="33">
        <v>14</v>
      </c>
      <c r="C37" s="34" t="str">
        <f>'Chaves 1a.Fase'!C21</f>
        <v>MATEUS</v>
      </c>
      <c r="D37" s="88">
        <v>0</v>
      </c>
      <c r="E37" s="87">
        <v>1</v>
      </c>
      <c r="F37" s="35" t="str">
        <f>'Chaves 1a.Fase'!C22</f>
        <v>ELISANDRO</v>
      </c>
      <c r="G37" s="36" t="str">
        <f>'Chaves 1a.Fase'!D3</f>
        <v>EMERSON</v>
      </c>
      <c r="H37" s="26"/>
      <c r="I37" s="14" t="str">
        <f t="shared" si="1"/>
        <v>ELISANDRO</v>
      </c>
      <c r="J37" s="14" t="str">
        <f t="shared" si="2"/>
        <v>MATEUS</v>
      </c>
      <c r="L37" s="19" t="s">
        <v>21</v>
      </c>
      <c r="M37" s="20"/>
      <c r="N37" s="20"/>
      <c r="O37" s="20"/>
      <c r="P37" s="20"/>
      <c r="Q37" s="20"/>
      <c r="R37" s="20"/>
      <c r="S37" s="20"/>
      <c r="T37" s="21"/>
      <c r="V37" s="14" t="str">
        <f>'Chaves 1a.Fase'!A9</f>
        <v>MICHEL</v>
      </c>
      <c r="W37" s="14">
        <f>COUNT(MINAS_JOGOS)</f>
        <v>3</v>
      </c>
      <c r="X37" s="14">
        <f>COUNTIF(Groupstage_Winners,'Chaves 1a.Fase'!A9)</f>
        <v>2</v>
      </c>
      <c r="Y37" s="14">
        <f>COUNTIF(Groupstage_Losers,'Chaves 1a.Fase'!A9)</f>
        <v>0</v>
      </c>
      <c r="Z37" s="14">
        <f>W37-(X37+Y37)</f>
        <v>1</v>
      </c>
      <c r="AA37" s="14">
        <f>SUM(MINAS_JOGOS)</f>
        <v>3</v>
      </c>
      <c r="AB37" s="14">
        <f>SUM(MINAS_ADV)</f>
        <v>0</v>
      </c>
      <c r="AC37" s="14">
        <f>AA37-AB37</f>
        <v>3</v>
      </c>
      <c r="AD37" s="14">
        <f>X37*Winpoints+Z37*Drawpoints</f>
        <v>7</v>
      </c>
      <c r="AE37" s="14" t="str">
        <f>IF($AD37&lt;=$AD36,$V37,$V36)</f>
        <v>MARCOS JUNQ.</v>
      </c>
      <c r="AF37" s="14">
        <f>VLOOKUP($AE37,$V36:$AD39,9,FALSE)</f>
        <v>1</v>
      </c>
      <c r="AG37" s="14" t="str">
        <f>IF(AF37&gt;=AF39,AE37,AE39)</f>
        <v>UMBERTO</v>
      </c>
      <c r="AH37" s="14">
        <f>VLOOKUP($AG37,$V36:$AD39,9,FALSE)</f>
        <v>3</v>
      </c>
      <c r="AI37" s="14" t="str">
        <f>IF($AH37&gt;=$AH38,$AG37,$AG38)</f>
        <v>DIOGO MALLET</v>
      </c>
      <c r="AJ37" s="14">
        <f>VLOOKUP($AI37,$V36:$AD39,9,FALSE)</f>
        <v>6</v>
      </c>
      <c r="AK37" s="14">
        <f>VLOOKUP($AI37,$V36:$AD39,8,FALSE)</f>
        <v>2</v>
      </c>
      <c r="AL37" s="14" t="str">
        <f>IF(AND($AJ36=$AJ37,$AK37&gt;$AK36),$AI36,$AI37)</f>
        <v>DIOGO MALLET</v>
      </c>
      <c r="AM37" s="14">
        <f>VLOOKUP($AL37,$V36:$AD39,9,FALSE)</f>
        <v>6</v>
      </c>
      <c r="AN37" s="14">
        <f>VLOOKUP($AL37,$V36:$AD39,8,FALSE)</f>
        <v>2</v>
      </c>
      <c r="AO37" s="14" t="str">
        <f>IF(AND($AM37=$AM39,$AN39&gt;$AN37),$AL39,$AL37)</f>
        <v>DIOGO MALLET</v>
      </c>
      <c r="AP37" s="14">
        <f>VLOOKUP($AO37,$V36:$AD39,9,FALSE)</f>
        <v>6</v>
      </c>
      <c r="AQ37" s="14">
        <f>VLOOKUP($AO37,$V36:$AD39,8,FALSE)</f>
        <v>2</v>
      </c>
      <c r="AR37" s="14" t="str">
        <f>IF(AND($AP37=$AP38,$AQ38&gt;$AQ37),$AO38,$AO37)</f>
        <v>DIOGO MALLET</v>
      </c>
      <c r="AS37" s="14">
        <f>VLOOKUP($AR37,$V36:$AD39,9,FALSE)</f>
        <v>6</v>
      </c>
      <c r="AT37" s="14">
        <f>VLOOKUP($AR37,$V36:$AD39,8,FALSE)</f>
        <v>2</v>
      </c>
      <c r="AU37" s="14">
        <f>VLOOKUP($AR37,$V36:$AD39,6,FALSE)</f>
        <v>3</v>
      </c>
      <c r="AV37" s="14" t="str">
        <f>IF(AND($AS36=$AS37,$AT36=$AT37,$AU37&gt;$AU36),$AR36,$AR37)</f>
        <v>DIOGO MALLET</v>
      </c>
      <c r="AW37" s="14">
        <f>VLOOKUP($AV37,$V36:$AD39,9,FALSE)</f>
        <v>6</v>
      </c>
      <c r="AX37" s="14">
        <f>VLOOKUP($AV37,$V36:$AD39,8,FALSE)</f>
        <v>2</v>
      </c>
      <c r="AY37" s="14">
        <f>VLOOKUP($AV37,$V36:$AD39,6,FALSE)</f>
        <v>3</v>
      </c>
      <c r="AZ37" s="14" t="str">
        <f>IF(AND($AW37=$AW39,$AX37=$AX39,$AY39&gt;$AY37),$AV39,$AV37)</f>
        <v>DIOGO MALLET</v>
      </c>
      <c r="BA37" s="14">
        <f>VLOOKUP($AZ37,$V36:$AD39,9,FALSE)</f>
        <v>6</v>
      </c>
      <c r="BB37" s="14">
        <f>VLOOKUP($AZ37,$V36:$AD39,8,FALSE)</f>
        <v>2</v>
      </c>
      <c r="BC37" s="14">
        <f>VLOOKUP($AZ37,$V36:$AD39,6,FALSE)</f>
        <v>3</v>
      </c>
      <c r="BD37" s="14" t="str">
        <f>IF(AND($BA37=$BA38,$BB37=$BB38,$BC38&gt;$BC37),$AZ38,$AZ37)</f>
        <v>DIOGO MALLET</v>
      </c>
      <c r="BE37" s="14">
        <f>VLOOKUP($BD37,$V36:$AD39,9,FALSE)</f>
        <v>6</v>
      </c>
      <c r="BF37" s="14">
        <f>VLOOKUP($BD37,$V36:$AD39,8,FALSE)</f>
        <v>2</v>
      </c>
      <c r="BG37" s="14">
        <f>VLOOKUP($BD37,$V36:$AD39,6,FALSE)</f>
        <v>3</v>
      </c>
      <c r="BK37" s="14" t="str">
        <f>BD37</f>
        <v>DIOGO MALLET</v>
      </c>
      <c r="BL37" s="14">
        <f>VLOOKUP($BK37,$V36:$AD39,2,FALSE)</f>
        <v>3</v>
      </c>
      <c r="BM37" s="14">
        <f>VLOOKUP($BK37,$V36:$AD39,3,FALSE)</f>
        <v>2</v>
      </c>
      <c r="BN37" s="14">
        <f>VLOOKUP($BK37,$V36:$AD39,4,FALSE)</f>
        <v>1</v>
      </c>
      <c r="BO37" s="14">
        <f>VLOOKUP($BK37,$V36:$AD39,5,FALSE)</f>
        <v>0</v>
      </c>
      <c r="BP37" s="14">
        <f>VLOOKUP($BK37,$V36:$AD39,6,FALSE)</f>
        <v>3</v>
      </c>
      <c r="BQ37" s="14">
        <f>VLOOKUP($BK37,$V36:$AD39,7,FALSE)</f>
        <v>1</v>
      </c>
      <c r="BR37" s="14">
        <f>VLOOKUP($BK37,$V36:$AD39,8,FALSE)</f>
        <v>2</v>
      </c>
      <c r="BS37" s="14">
        <f>VLOOKUP($BK37,$V36:$AD39,9,FALSE)</f>
        <v>6</v>
      </c>
    </row>
    <row r="38" spans="1:71" ht="13.5" customHeight="1" thickBot="1">
      <c r="A38" s="26">
        <v>16</v>
      </c>
      <c r="B38" s="33">
        <v>15</v>
      </c>
      <c r="C38" s="34" t="str">
        <f>'Chaves 1a.Fase'!D20</f>
        <v>ROGÉRIO HAR.</v>
      </c>
      <c r="D38" s="88">
        <v>0</v>
      </c>
      <c r="E38" s="87">
        <v>2</v>
      </c>
      <c r="F38" s="35" t="str">
        <f>'Chaves 1a.Fase'!D23</f>
        <v>VICTOR</v>
      </c>
      <c r="G38" s="36" t="str">
        <f>'Chaves 1a.Fase'!D4</f>
        <v>PAIM</v>
      </c>
      <c r="H38" s="26"/>
      <c r="I38" s="14" t="str">
        <f t="shared" si="1"/>
        <v>VICTOR</v>
      </c>
      <c r="J38" s="14" t="str">
        <f t="shared" si="2"/>
        <v>ROGÉRIO HAR.</v>
      </c>
      <c r="L38" s="22"/>
      <c r="M38" s="23" t="s">
        <v>83</v>
      </c>
      <c r="N38" s="23" t="s">
        <v>84</v>
      </c>
      <c r="O38" s="23" t="s">
        <v>85</v>
      </c>
      <c r="P38" s="23" t="s">
        <v>86</v>
      </c>
      <c r="Q38" s="23" t="s">
        <v>87</v>
      </c>
      <c r="R38" s="23" t="s">
        <v>88</v>
      </c>
      <c r="S38" s="23" t="s">
        <v>89</v>
      </c>
      <c r="T38" s="24" t="s">
        <v>90</v>
      </c>
      <c r="V38" s="14" t="str">
        <f>'Chaves 1a.Fase'!A10</f>
        <v>DIOGO MALLET</v>
      </c>
      <c r="W38" s="14">
        <f>COUNT(SERGIPE_JOGOS)</f>
        <v>3</v>
      </c>
      <c r="X38" s="14">
        <f>COUNTIF(Groupstage_Winners,'Chaves 1a.Fase'!A10)</f>
        <v>2</v>
      </c>
      <c r="Y38" s="14">
        <f>COUNTIF(Groupstage_Losers,'Chaves 1a.Fase'!A10)</f>
        <v>1</v>
      </c>
      <c r="Z38" s="14">
        <f>W38-(X38+Y38)</f>
        <v>0</v>
      </c>
      <c r="AA38" s="14">
        <f>SUM(SERGIPE_JOGOS)</f>
        <v>3</v>
      </c>
      <c r="AB38" s="14">
        <f>SUM(SERGIPE_ADV)</f>
        <v>1</v>
      </c>
      <c r="AC38" s="14">
        <f>AA38-AB38</f>
        <v>2</v>
      </c>
      <c r="AD38" s="14">
        <f>X38*Winpoints+Z38*Drawpoints</f>
        <v>6</v>
      </c>
      <c r="AE38" s="14" t="str">
        <f>IF($AD38&gt;=$AD39,$V38,$V39)</f>
        <v>DIOGO MALLET</v>
      </c>
      <c r="AF38" s="14">
        <f>VLOOKUP($AE38,$V36:$AD39,9,FALSE)</f>
        <v>6</v>
      </c>
      <c r="AG38" s="14" t="str">
        <f>IF($AF38&lt;=$AF36,$AE38,$AE36)</f>
        <v>DIOGO MALLET</v>
      </c>
      <c r="AH38" s="14">
        <f>VLOOKUP($AG38,$V36:$AD39,9,FALSE)</f>
        <v>6</v>
      </c>
      <c r="AI38" s="14" t="str">
        <f>IF($AH38&lt;=$AH37,$AG38,$AG37)</f>
        <v>UMBERTO</v>
      </c>
      <c r="AJ38" s="14">
        <f>VLOOKUP($AI38,$V36:$AD39,9,FALSE)</f>
        <v>3</v>
      </c>
      <c r="AK38" s="14">
        <f>VLOOKUP($AI38,$V36:$AD39,8,FALSE)</f>
        <v>-1</v>
      </c>
      <c r="AL38" s="14" t="str">
        <f>IF(AND($AJ38=$AJ39,$AK39&gt;$AK38),$AI39,$AI38)</f>
        <v>UMBERTO</v>
      </c>
      <c r="AM38" s="14">
        <f>VLOOKUP($AL38,$V36:$AD39,9,FALSE)</f>
        <v>3</v>
      </c>
      <c r="AN38" s="14">
        <f>VLOOKUP($AL38,$V36:$AD39,8,FALSE)</f>
        <v>-1</v>
      </c>
      <c r="AO38" s="14" t="str">
        <f>IF(AND($AM36=$AM38,$AN38&gt;$AN36),$AL36,$AL38)</f>
        <v>UMBERTO</v>
      </c>
      <c r="AP38" s="14">
        <f>VLOOKUP($AO38,$V36:$AD39,9,FALSE)</f>
        <v>3</v>
      </c>
      <c r="AQ38" s="14">
        <f>VLOOKUP($AO38,$V36:$AD39,8,FALSE)</f>
        <v>-1</v>
      </c>
      <c r="AR38" s="14" t="str">
        <f>IF(AND($AP37=$AP38,$AQ38&gt;$AQ37),$AO37,$AO38)</f>
        <v>UMBERTO</v>
      </c>
      <c r="AS38" s="14">
        <f>VLOOKUP($AR38,$V36:$AD39,9,FALSE)</f>
        <v>3</v>
      </c>
      <c r="AT38" s="14">
        <f>VLOOKUP($AR38,$V36:$AD39,8,FALSE)</f>
        <v>-1</v>
      </c>
      <c r="AU38" s="14">
        <f>VLOOKUP($AR38,$V36:$AD39,6,FALSE)</f>
        <v>3</v>
      </c>
      <c r="AV38" s="14" t="str">
        <f>IF(AND($AS38=$AS39,$AT38=$AT39,$AU39&gt;$AU38),$AR39,$AR38)</f>
        <v>UMBERTO</v>
      </c>
      <c r="AW38" s="14">
        <f>VLOOKUP($AV38,$V36:$AD39,9,FALSE)</f>
        <v>3</v>
      </c>
      <c r="AX38" s="14">
        <f>VLOOKUP($AV38,$V36:$AD39,8,FALSE)</f>
        <v>-1</v>
      </c>
      <c r="AY38" s="14">
        <f>VLOOKUP($AV38,$V36:$AD39,6,FALSE)</f>
        <v>3</v>
      </c>
      <c r="AZ38" s="14" t="str">
        <f>IF(AND($AW36=$AW38,$AX36=$AX38,$AY38&gt;$AY36),$AV36,$AV38)</f>
        <v>UMBERTO</v>
      </c>
      <c r="BA38" s="14">
        <f>VLOOKUP($AZ38,$V36:$AD39,9,FALSE)</f>
        <v>3</v>
      </c>
      <c r="BB38" s="14">
        <f>VLOOKUP($AZ38,$V36:$AD39,8,FALSE)</f>
        <v>-1</v>
      </c>
      <c r="BC38" s="14">
        <f>VLOOKUP($AZ38,$V36:$AD39,6,FALSE)</f>
        <v>3</v>
      </c>
      <c r="BD38" s="14" t="str">
        <f>IF(AND($BA37=$BA38,$BB37=$BB38,$BC38&gt;$BC37),$AZ37,$AZ38)</f>
        <v>UMBERTO</v>
      </c>
      <c r="BE38" s="14">
        <f>VLOOKUP($BD38,$V36:$AD39,9,FALSE)</f>
        <v>3</v>
      </c>
      <c r="BF38" s="14">
        <f>VLOOKUP($BD38,$V36:$AD39,8,FALSE)</f>
        <v>-1</v>
      </c>
      <c r="BG38" s="14">
        <f>VLOOKUP($BD38,$V36:$AD39,6,FALSE)</f>
        <v>3</v>
      </c>
      <c r="BK38" s="14" t="str">
        <f>BD38</f>
        <v>UMBERTO</v>
      </c>
      <c r="BL38" s="14">
        <f>VLOOKUP($BK38,$V36:$AD39,2,FALSE)</f>
        <v>3</v>
      </c>
      <c r="BM38" s="14">
        <f>VLOOKUP($BK38,$V36:$AD39,3,FALSE)</f>
        <v>1</v>
      </c>
      <c r="BN38" s="14">
        <f>VLOOKUP($BK38,$V36:$AD39,4,FALSE)</f>
        <v>2</v>
      </c>
      <c r="BO38" s="14">
        <f>VLOOKUP($BK38,$V36:$AD39,5,FALSE)</f>
        <v>0</v>
      </c>
      <c r="BP38" s="14">
        <f>VLOOKUP($BK38,$V36:$AD39,6,FALSE)</f>
        <v>3</v>
      </c>
      <c r="BQ38" s="14">
        <f>VLOOKUP($BK38,$V36:$AD39,7,FALSE)</f>
        <v>4</v>
      </c>
      <c r="BR38" s="14">
        <f>VLOOKUP($BK38,$V36:$AD39,8,FALSE)</f>
        <v>-1</v>
      </c>
      <c r="BS38" s="14">
        <f>VLOOKUP($BK38,$V36:$AD39,9,FALSE)</f>
        <v>3</v>
      </c>
    </row>
    <row r="39" spans="1:71" ht="13.5" customHeight="1" thickBot="1">
      <c r="A39" s="26">
        <v>16</v>
      </c>
      <c r="B39" s="33">
        <v>16</v>
      </c>
      <c r="C39" s="34" t="str">
        <f>'Chaves 1a.Fase'!D21</f>
        <v>ALESSANDRO</v>
      </c>
      <c r="D39" s="88">
        <v>0</v>
      </c>
      <c r="E39" s="87">
        <v>0</v>
      </c>
      <c r="F39" s="35" t="str">
        <f>'Chaves 1a.Fase'!D22</f>
        <v>LEANDRINHO</v>
      </c>
      <c r="G39" s="36" t="str">
        <f>'Chaves 1a.Fase'!D5</f>
        <v>JULIO</v>
      </c>
      <c r="H39" s="26"/>
      <c r="I39" s="14" t="str">
        <f t="shared" si="1"/>
        <v>Draw</v>
      </c>
      <c r="J39" s="14" t="str">
        <f t="shared" si="2"/>
        <v>Draw</v>
      </c>
      <c r="L39" s="25" t="str">
        <f aca="true" t="shared" si="7" ref="L39:T42">BK43</f>
        <v>SILVIO</v>
      </c>
      <c r="M39" s="26">
        <f t="shared" si="7"/>
        <v>3</v>
      </c>
      <c r="N39" s="26">
        <f t="shared" si="7"/>
        <v>2</v>
      </c>
      <c r="O39" s="26">
        <f t="shared" si="7"/>
        <v>0</v>
      </c>
      <c r="P39" s="26">
        <f t="shared" si="7"/>
        <v>1</v>
      </c>
      <c r="Q39" s="26">
        <f t="shared" si="7"/>
        <v>3</v>
      </c>
      <c r="R39" s="26">
        <f t="shared" si="7"/>
        <v>0</v>
      </c>
      <c r="S39" s="26">
        <f t="shared" si="7"/>
        <v>3</v>
      </c>
      <c r="T39" s="27">
        <f t="shared" si="7"/>
        <v>7</v>
      </c>
      <c r="V39" s="14" t="str">
        <f>'Chaves 1a.Fase'!A11</f>
        <v>UMBERTO</v>
      </c>
      <c r="W39" s="14">
        <f>COUNT(PERNAMBUCO_JOGOS)</f>
        <v>3</v>
      </c>
      <c r="X39" s="14">
        <f>COUNTIF(Groupstage_Winners,'Chaves 1a.Fase'!A11)</f>
        <v>1</v>
      </c>
      <c r="Y39" s="14">
        <f>COUNTIF(Groupstage_Losers,'Chaves 1a.Fase'!A11)</f>
        <v>2</v>
      </c>
      <c r="Z39" s="14">
        <f>W39-(X39+Y39)</f>
        <v>0</v>
      </c>
      <c r="AA39" s="14">
        <f>SUM(PERNAMBUCO_JOGOS)</f>
        <v>3</v>
      </c>
      <c r="AB39" s="14">
        <f>SUM(PERNAMBUCO_ADV)</f>
        <v>4</v>
      </c>
      <c r="AC39" s="14">
        <f>AA39-AB39</f>
        <v>-1</v>
      </c>
      <c r="AD39" s="14">
        <f>X39*Winpoints+Z39*Drawpoints</f>
        <v>3</v>
      </c>
      <c r="AE39" s="14" t="str">
        <f>IF($AD39&lt;=$AD38,$V39,$V38)</f>
        <v>UMBERTO</v>
      </c>
      <c r="AF39" s="14">
        <f>VLOOKUP($AE39,$V36:$AD39,9,FALSE)</f>
        <v>3</v>
      </c>
      <c r="AG39" s="14" t="str">
        <f>IF(AF39&lt;=AF37,AE39,AE37)</f>
        <v>MARCOS JUNQ.</v>
      </c>
      <c r="AH39" s="14">
        <f>VLOOKUP($AG39,$V36:$AD39,9,FALSE)</f>
        <v>1</v>
      </c>
      <c r="AI39" s="14" t="str">
        <f>IF($AH39&lt;=$AH36,$AG39,$AG36)</f>
        <v>MARCOS JUNQ.</v>
      </c>
      <c r="AJ39" s="14">
        <f>VLOOKUP($AI39,$V36:$AD39,9,FALSE)</f>
        <v>1</v>
      </c>
      <c r="AK39" s="14">
        <f>VLOOKUP($AI39,$V36:$AD39,8,FALSE)</f>
        <v>-4</v>
      </c>
      <c r="AL39" s="14" t="str">
        <f>IF(AND($AJ38=$AJ39,$AK39&gt;$AK38),$AI38,$AI39)</f>
        <v>MARCOS JUNQ.</v>
      </c>
      <c r="AM39" s="14">
        <f>VLOOKUP($AL39,$V36:$AD39,9,FALSE)</f>
        <v>1</v>
      </c>
      <c r="AN39" s="14">
        <f>VLOOKUP($AL39,$V36:$AD39,8,FALSE)</f>
        <v>-4</v>
      </c>
      <c r="AO39" s="14" t="str">
        <f>IF(AND($AM37=$AM39,$AN39&gt;$AN37),$AL37,$AL39)</f>
        <v>MARCOS JUNQ.</v>
      </c>
      <c r="AP39" s="14">
        <f>VLOOKUP($AO39,$V36:$AD39,9,FALSE)</f>
        <v>1</v>
      </c>
      <c r="AQ39" s="14">
        <f>VLOOKUP($AO39,$V36:$AD39,8,FALSE)</f>
        <v>-4</v>
      </c>
      <c r="AR39" s="14" t="str">
        <f>IF(AND($AP36=$AP39,$AQ39&gt;$AQ36),$AO36,$AO39)</f>
        <v>MARCOS JUNQ.</v>
      </c>
      <c r="AS39" s="14">
        <f>VLOOKUP($AR39,$V36:$AD39,9,FALSE)</f>
        <v>1</v>
      </c>
      <c r="AT39" s="14">
        <f>VLOOKUP($AR39,$V36:$AD39,8,FALSE)</f>
        <v>-4</v>
      </c>
      <c r="AU39" s="14">
        <f>VLOOKUP($AR39,$V36:$AD39,6,FALSE)</f>
        <v>0</v>
      </c>
      <c r="AV39" s="14" t="str">
        <f>IF(AND($AS38=$AS39,$AT38=$AT39,$AU39&gt;$AU38),$AR38,$AR39)</f>
        <v>MARCOS JUNQ.</v>
      </c>
      <c r="AW39" s="14">
        <f>VLOOKUP($AV39,$V36:$AD39,9,FALSE)</f>
        <v>1</v>
      </c>
      <c r="AX39" s="14">
        <f>VLOOKUP($AV39,$V36:$AD39,8,FALSE)</f>
        <v>-4</v>
      </c>
      <c r="AY39" s="14">
        <f>VLOOKUP($AV39,$V36:$AD39,6,FALSE)</f>
        <v>0</v>
      </c>
      <c r="AZ39" s="14" t="str">
        <f>IF(AND($AW37=$AW39,$AX37=$AX39,$AY39&gt;$AY37),$AV37,$AV39)</f>
        <v>MARCOS JUNQ.</v>
      </c>
      <c r="BA39" s="14">
        <f>VLOOKUP($AZ39,$V36:$AD39,9,FALSE)</f>
        <v>1</v>
      </c>
      <c r="BB39" s="14">
        <f>VLOOKUP($AZ39,$V36:$AD39,8,FALSE)</f>
        <v>-4</v>
      </c>
      <c r="BC39" s="14">
        <f>VLOOKUP($AZ39,$V36:$AD39,6,FALSE)</f>
        <v>0</v>
      </c>
      <c r="BD39" s="14" t="str">
        <f>IF(AND($BA36=$BA39,$BB36=$BB39,$BC39&gt;$BC36),$AZ36,$AZ39)</f>
        <v>MARCOS JUNQ.</v>
      </c>
      <c r="BE39" s="14">
        <f>VLOOKUP($BD39,$V36:$AD39,9,FALSE)</f>
        <v>1</v>
      </c>
      <c r="BF39" s="14">
        <f>VLOOKUP($BD39,$V36:$AD39,8,FALSE)</f>
        <v>-4</v>
      </c>
      <c r="BG39" s="14">
        <f>VLOOKUP($BD39,$V36:$AD39,6,FALSE)</f>
        <v>0</v>
      </c>
      <c r="BK39" s="14" t="str">
        <f>BD39</f>
        <v>MARCOS JUNQ.</v>
      </c>
      <c r="BL39" s="14">
        <f>VLOOKUP($BK39,$V36:$AD39,2,FALSE)</f>
        <v>3</v>
      </c>
      <c r="BM39" s="14">
        <f>VLOOKUP($BK39,$V36:$AD39,3,FALSE)</f>
        <v>0</v>
      </c>
      <c r="BN39" s="14">
        <f>VLOOKUP($BK39,$V36:$AD39,4,FALSE)</f>
        <v>2</v>
      </c>
      <c r="BO39" s="14">
        <f>VLOOKUP($BK39,$V36:$AD39,5,FALSE)</f>
        <v>1</v>
      </c>
      <c r="BP39" s="14">
        <f>VLOOKUP($BK39,$V36:$AD39,6,FALSE)</f>
        <v>0</v>
      </c>
      <c r="BQ39" s="14">
        <f>VLOOKUP($BK39,$V36:$AD39,7,FALSE)</f>
        <v>4</v>
      </c>
      <c r="BR39" s="14">
        <f>VLOOKUP($BK39,$V36:$AD39,8,FALSE)</f>
        <v>-4</v>
      </c>
      <c r="BS39" s="14">
        <f>VLOOKUP($BK39,$V36:$AD39,9,FALSE)</f>
        <v>1</v>
      </c>
    </row>
    <row r="40" spans="1:20" ht="15.75" customHeight="1">
      <c r="A40" s="74" t="s">
        <v>121</v>
      </c>
      <c r="B40" s="74"/>
      <c r="C40" s="74"/>
      <c r="D40" s="74"/>
      <c r="E40" s="74"/>
      <c r="F40" s="74"/>
      <c r="G40" s="74"/>
      <c r="H40" s="74"/>
      <c r="L40" s="25" t="str">
        <f t="shared" si="7"/>
        <v>NILMAR</v>
      </c>
      <c r="M40" s="26">
        <f t="shared" si="7"/>
        <v>3</v>
      </c>
      <c r="N40" s="26">
        <f t="shared" si="7"/>
        <v>1</v>
      </c>
      <c r="O40" s="26">
        <f t="shared" si="7"/>
        <v>0</v>
      </c>
      <c r="P40" s="26">
        <f t="shared" si="7"/>
        <v>2</v>
      </c>
      <c r="Q40" s="26">
        <f t="shared" si="7"/>
        <v>1</v>
      </c>
      <c r="R40" s="26">
        <f t="shared" si="7"/>
        <v>0</v>
      </c>
      <c r="S40" s="26">
        <f t="shared" si="7"/>
        <v>1</v>
      </c>
      <c r="T40" s="27">
        <f t="shared" si="7"/>
        <v>5</v>
      </c>
    </row>
    <row r="41" spans="1:22" ht="13.5" customHeight="1" thickBot="1">
      <c r="A41" s="26">
        <v>1</v>
      </c>
      <c r="B41" s="33">
        <v>1</v>
      </c>
      <c r="C41" s="34" t="str">
        <f>'Chaves 1a.Fase'!A4</f>
        <v>DIOGO BRAGA</v>
      </c>
      <c r="D41" s="90">
        <v>0</v>
      </c>
      <c r="E41" s="91">
        <v>0</v>
      </c>
      <c r="F41" s="35" t="str">
        <f>'Chaves 1a.Fase'!A2</f>
        <v>PAULO</v>
      </c>
      <c r="G41" s="36" t="str">
        <f>'Chaves 1a.Fase'!A20</f>
        <v>JORGITO</v>
      </c>
      <c r="H41" s="26"/>
      <c r="I41" s="14" t="str">
        <f t="shared" si="1"/>
        <v>Draw</v>
      </c>
      <c r="J41" s="14" t="str">
        <f t="shared" si="2"/>
        <v>Draw</v>
      </c>
      <c r="L41" s="25" t="str">
        <f t="shared" si="7"/>
        <v>FERNANDO</v>
      </c>
      <c r="M41" s="26">
        <f t="shared" si="7"/>
        <v>3</v>
      </c>
      <c r="N41" s="26">
        <f t="shared" si="7"/>
        <v>1</v>
      </c>
      <c r="O41" s="26">
        <f t="shared" si="7"/>
        <v>1</v>
      </c>
      <c r="P41" s="26">
        <f t="shared" si="7"/>
        <v>1</v>
      </c>
      <c r="Q41" s="26">
        <f t="shared" si="7"/>
        <v>1</v>
      </c>
      <c r="R41" s="26">
        <f t="shared" si="7"/>
        <v>2</v>
      </c>
      <c r="S41" s="26">
        <f t="shared" si="7"/>
        <v>-1</v>
      </c>
      <c r="T41" s="27">
        <f t="shared" si="7"/>
        <v>4</v>
      </c>
      <c r="V41" s="14" t="s">
        <v>122</v>
      </c>
    </row>
    <row r="42" spans="1:30" ht="13.5" customHeight="1" thickBot="1">
      <c r="A42" s="26">
        <v>1</v>
      </c>
      <c r="B42" s="33">
        <v>2</v>
      </c>
      <c r="C42" s="34" t="str">
        <f>'Chaves 1a.Fase'!A5</f>
        <v>ROBSON</v>
      </c>
      <c r="D42" s="88">
        <v>0</v>
      </c>
      <c r="E42" s="87">
        <v>0</v>
      </c>
      <c r="F42" s="35" t="str">
        <f>'Chaves 1a.Fase'!A3</f>
        <v>LEÃO</v>
      </c>
      <c r="G42" s="36" t="str">
        <f>'Chaves 1a.Fase'!A21</f>
        <v>EDISON</v>
      </c>
      <c r="H42" s="26"/>
      <c r="I42" s="14" t="str">
        <f t="shared" si="1"/>
        <v>Draw</v>
      </c>
      <c r="J42" s="14" t="str">
        <f t="shared" si="2"/>
        <v>Draw</v>
      </c>
      <c r="L42" s="37" t="str">
        <f t="shared" si="7"/>
        <v>AUGUSTO</v>
      </c>
      <c r="M42" s="38">
        <f t="shared" si="7"/>
        <v>3</v>
      </c>
      <c r="N42" s="38">
        <f t="shared" si="7"/>
        <v>0</v>
      </c>
      <c r="O42" s="38">
        <f t="shared" si="7"/>
        <v>3</v>
      </c>
      <c r="P42" s="38">
        <f t="shared" si="7"/>
        <v>0</v>
      </c>
      <c r="Q42" s="38">
        <f t="shared" si="7"/>
        <v>0</v>
      </c>
      <c r="R42" s="38">
        <f t="shared" si="7"/>
        <v>3</v>
      </c>
      <c r="S42" s="38">
        <f t="shared" si="7"/>
        <v>-3</v>
      </c>
      <c r="T42" s="39">
        <f t="shared" si="7"/>
        <v>0</v>
      </c>
      <c r="W42" s="14" t="s">
        <v>107</v>
      </c>
      <c r="X42" s="14" t="s">
        <v>108</v>
      </c>
      <c r="Y42" s="14" t="s">
        <v>109</v>
      </c>
      <c r="Z42" s="14" t="s">
        <v>85</v>
      </c>
      <c r="AA42" s="14" t="s">
        <v>110</v>
      </c>
      <c r="AB42" s="14" t="s">
        <v>111</v>
      </c>
      <c r="AC42" s="14" t="s">
        <v>112</v>
      </c>
      <c r="AD42" s="14" t="s">
        <v>113</v>
      </c>
    </row>
    <row r="43" spans="1:71" ht="13.5" customHeight="1" thickBot="1">
      <c r="A43" s="40">
        <v>2</v>
      </c>
      <c r="B43" s="41">
        <v>3</v>
      </c>
      <c r="C43" s="42" t="str">
        <f>'Chaves 1a.Fase'!B4</f>
        <v>ALDYR</v>
      </c>
      <c r="D43" s="89">
        <v>0</v>
      </c>
      <c r="E43" s="89">
        <v>0</v>
      </c>
      <c r="F43" s="43" t="str">
        <f>'Chaves 1a.Fase'!B2</f>
        <v>CHRISTIAN</v>
      </c>
      <c r="G43" s="43" t="str">
        <f>'Chaves 1a.Fase'!A22</f>
        <v>BRENO</v>
      </c>
      <c r="H43" s="40"/>
      <c r="I43" s="14" t="str">
        <f t="shared" si="1"/>
        <v>Draw</v>
      </c>
      <c r="J43" s="14" t="str">
        <f t="shared" si="2"/>
        <v>Draw</v>
      </c>
      <c r="V43" s="14" t="str">
        <f>'Chaves 1a.Fase'!B8</f>
        <v>FERNANDO</v>
      </c>
      <c r="W43" s="14">
        <f>COUNT(PARAIBA_JOGOS)</f>
        <v>3</v>
      </c>
      <c r="X43" s="14">
        <f>COUNTIF(Groupstage_Winners,'Chaves 1a.Fase'!B8)</f>
        <v>1</v>
      </c>
      <c r="Y43" s="14">
        <f>COUNTIF(Groupstage_Losers,'Chaves 1a.Fase'!B8)</f>
        <v>1</v>
      </c>
      <c r="Z43" s="14">
        <f>W43-(X43+Y43)</f>
        <v>1</v>
      </c>
      <c r="AA43" s="14">
        <f>SUM(PARAIBA_JOGOS)</f>
        <v>1</v>
      </c>
      <c r="AB43" s="14">
        <f>SUM(PARAIBA_ADV)</f>
        <v>2</v>
      </c>
      <c r="AC43" s="14">
        <f>AA43-AB43</f>
        <v>-1</v>
      </c>
      <c r="AD43" s="14">
        <f>X43*Winpoints+Z43*Drawpoints</f>
        <v>4</v>
      </c>
      <c r="AE43" s="14" t="str">
        <f>IF($AD43&gt;=$AD44,$V43,$V44)</f>
        <v>FERNANDO</v>
      </c>
      <c r="AF43" s="14">
        <f>VLOOKUP($AE43,$V43:$AD46,9,FALSE)</f>
        <v>4</v>
      </c>
      <c r="AG43" s="14" t="str">
        <f>IF($AF43&gt;=$AF45,$AE43,$AE45)</f>
        <v>SILVIO</v>
      </c>
      <c r="AH43" s="14">
        <f>VLOOKUP($AG43,$V43:$AD46,9,FALSE)</f>
        <v>7</v>
      </c>
      <c r="AI43" s="14" t="str">
        <f>IF($AH43&gt;=$AH46,$AG43,$AG46)</f>
        <v>SILVIO</v>
      </c>
      <c r="AJ43" s="14">
        <f>VLOOKUP($AI43,$V43:$AD46,9,FALSE)</f>
        <v>7</v>
      </c>
      <c r="AK43" s="14">
        <f>VLOOKUP($AI43,$V43:$AD46,8,FALSE)</f>
        <v>3</v>
      </c>
      <c r="AL43" s="14" t="str">
        <f>IF(AND($AJ43=$AJ44,$AK44&gt;$AK43),$AI44,$AI43)</f>
        <v>SILVIO</v>
      </c>
      <c r="AM43" s="14">
        <f>VLOOKUP($AL43,$V43:$AD46,9,FALSE)</f>
        <v>7</v>
      </c>
      <c r="AN43" s="14">
        <f>VLOOKUP($AL43,$V43:$AD46,8,FALSE)</f>
        <v>3</v>
      </c>
      <c r="AO43" s="14" t="str">
        <f>IF(AND($AM43=$AM45,$AN45&gt;$AN43),$AL45,$AL43)</f>
        <v>SILVIO</v>
      </c>
      <c r="AP43" s="14">
        <f>VLOOKUP($AO43,$V43:$AD46,9,FALSE)</f>
        <v>7</v>
      </c>
      <c r="AQ43" s="14">
        <f>VLOOKUP($AO43,$V43:$AD46,8,FALSE)</f>
        <v>3</v>
      </c>
      <c r="AR43" s="14" t="str">
        <f>IF(AND($AP43=$AP46,$AQ46&gt;$AQ43),$AO46,$AO43)</f>
        <v>SILVIO</v>
      </c>
      <c r="AS43" s="14">
        <f>VLOOKUP($AR43,$V43:$AD46,9,FALSE)</f>
        <v>7</v>
      </c>
      <c r="AT43" s="14">
        <f>VLOOKUP($AR43,$V43:$AD46,8,FALSE)</f>
        <v>3</v>
      </c>
      <c r="AU43" s="14">
        <f>VLOOKUP($AR43,$V43:$AD46,6,FALSE)</f>
        <v>3</v>
      </c>
      <c r="AV43" s="14" t="str">
        <f>IF(AND($AS43=$AS44,$AT43=$AT44,$AU44&gt;$AU43),$AR44,$AR43)</f>
        <v>SILVIO</v>
      </c>
      <c r="AW43" s="14">
        <f>VLOOKUP($AV43,$V43:$AD46,9,FALSE)</f>
        <v>7</v>
      </c>
      <c r="AX43" s="14">
        <f>VLOOKUP($AV43,$V43:$AD46,8,FALSE)</f>
        <v>3</v>
      </c>
      <c r="AY43" s="14">
        <f>VLOOKUP($AV43,$V43:$AD46,6,FALSE)</f>
        <v>3</v>
      </c>
      <c r="AZ43" s="14" t="str">
        <f>IF(AND($AW43=$AW45,$AX43=$AX45,$AY45&gt;$AY43),$AV45,$AV43)</f>
        <v>SILVIO</v>
      </c>
      <c r="BA43" s="14">
        <f>VLOOKUP($AZ43,$V43:$AD46,9,FALSE)</f>
        <v>7</v>
      </c>
      <c r="BB43" s="14">
        <f>VLOOKUP($AZ43,$V43:$AD46,8,FALSE)</f>
        <v>3</v>
      </c>
      <c r="BC43" s="14">
        <f>VLOOKUP($AZ43,$V43:$AD46,6,FALSE)</f>
        <v>3</v>
      </c>
      <c r="BD43" s="14" t="str">
        <f>IF(AND($BA43=$BA46,$BB43=$BB46,$BC46&gt;$BC43),$AZ46,$AZ43)</f>
        <v>SILVIO</v>
      </c>
      <c r="BE43" s="14">
        <f>VLOOKUP($BD43,$V43:$AD46,9,FALSE)</f>
        <v>7</v>
      </c>
      <c r="BF43" s="14">
        <f>VLOOKUP($BD43,$V43:$AD46,8,FALSE)</f>
        <v>3</v>
      </c>
      <c r="BG43" s="14">
        <f>VLOOKUP($BD43,$V43:$AD46,6,FALSE)</f>
        <v>3</v>
      </c>
      <c r="BK43" s="14" t="str">
        <f>BD43</f>
        <v>SILVIO</v>
      </c>
      <c r="BL43" s="14">
        <f>VLOOKUP($BK43,$V43:$AD46,2,FALSE)</f>
        <v>3</v>
      </c>
      <c r="BM43" s="14">
        <f>VLOOKUP($BK43,$V43:$AD46,3,FALSE)</f>
        <v>2</v>
      </c>
      <c r="BN43" s="14">
        <f>VLOOKUP($BK43,$V43:$AD46,4,FALSE)</f>
        <v>0</v>
      </c>
      <c r="BO43" s="14">
        <f>VLOOKUP($BK43,$V43:$AD46,5,FALSE)</f>
        <v>1</v>
      </c>
      <c r="BP43" s="14">
        <f>VLOOKUP($BK43,$V43:$AD46,6,FALSE)</f>
        <v>3</v>
      </c>
      <c r="BQ43" s="14">
        <f>VLOOKUP($BK43,$V43:$AD46,7,FALSE)</f>
        <v>0</v>
      </c>
      <c r="BR43" s="14">
        <f>VLOOKUP($BK43,$V43:$AD46,8,FALSE)</f>
        <v>3</v>
      </c>
      <c r="BS43" s="14">
        <f>VLOOKUP($BK43,$V43:$AD46,9,FALSE)</f>
        <v>7</v>
      </c>
    </row>
    <row r="44" spans="1:71" ht="13.5" customHeight="1" thickBot="1">
      <c r="A44" s="26">
        <v>2</v>
      </c>
      <c r="B44" s="33">
        <v>4</v>
      </c>
      <c r="C44" s="34" t="str">
        <f>'Chaves 1a.Fase'!B5</f>
        <v>BETÃO</v>
      </c>
      <c r="D44" s="88">
        <v>0</v>
      </c>
      <c r="E44" s="87">
        <v>1</v>
      </c>
      <c r="F44" s="35" t="str">
        <f>'Chaves 1a.Fase'!B3</f>
        <v>ELIAS</v>
      </c>
      <c r="G44" s="36" t="str">
        <f>'Chaves 1a.Fase'!A23</f>
        <v>VINÍCIUS</v>
      </c>
      <c r="H44" s="26"/>
      <c r="I44" s="14" t="str">
        <f t="shared" si="1"/>
        <v>ELIAS</v>
      </c>
      <c r="J44" s="14" t="str">
        <f t="shared" si="2"/>
        <v>BETÃO</v>
      </c>
      <c r="L44" s="19" t="s">
        <v>22</v>
      </c>
      <c r="M44" s="20"/>
      <c r="N44" s="20"/>
      <c r="O44" s="20"/>
      <c r="P44" s="20"/>
      <c r="Q44" s="20"/>
      <c r="R44" s="20"/>
      <c r="S44" s="20"/>
      <c r="T44" s="21"/>
      <c r="V44" s="14" t="str">
        <f>'Chaves 1a.Fase'!B9</f>
        <v>AUGUSTO</v>
      </c>
      <c r="W44" s="14">
        <f>COUNT(GOIAS_JOGOS)</f>
        <v>3</v>
      </c>
      <c r="X44" s="14">
        <f>COUNTIF(Groupstage_Winners,'Chaves 1a.Fase'!B9)</f>
        <v>0</v>
      </c>
      <c r="Y44" s="14">
        <f>COUNTIF(Groupstage_Losers,'Chaves 1a.Fase'!B9)</f>
        <v>3</v>
      </c>
      <c r="Z44" s="14">
        <f>W44-(X44+Y44)</f>
        <v>0</v>
      </c>
      <c r="AA44" s="14">
        <f>SUM(GOIAS_JOGOS)</f>
        <v>0</v>
      </c>
      <c r="AB44" s="14">
        <f>SUM(GOIAS_ADV)</f>
        <v>3</v>
      </c>
      <c r="AC44" s="14">
        <f>AA44-AB44</f>
        <v>-3</v>
      </c>
      <c r="AD44" s="14">
        <f>X44*Winpoints+Z44*Drawpoints</f>
        <v>0</v>
      </c>
      <c r="AE44" s="14" t="str">
        <f>IF($AD44&lt;=$AD43,$V44,$V43)</f>
        <v>AUGUSTO</v>
      </c>
      <c r="AF44" s="14">
        <f>VLOOKUP($AE44,$V43:$AD46,9,FALSE)</f>
        <v>0</v>
      </c>
      <c r="AG44" s="14" t="str">
        <f>IF(AF44&gt;=AF46,AE44,AE46)</f>
        <v>NILMAR</v>
      </c>
      <c r="AH44" s="14">
        <f>VLOOKUP($AG44,$V43:$AD46,9,FALSE)</f>
        <v>5</v>
      </c>
      <c r="AI44" s="14" t="str">
        <f>IF($AH44&gt;=$AH45,$AG44,$AG45)</f>
        <v>NILMAR</v>
      </c>
      <c r="AJ44" s="14">
        <f>VLOOKUP($AI44,$V43:$AD46,9,FALSE)</f>
        <v>5</v>
      </c>
      <c r="AK44" s="14">
        <f>VLOOKUP($AI44,$V43:$AD46,8,FALSE)</f>
        <v>1</v>
      </c>
      <c r="AL44" s="14" t="str">
        <f>IF(AND($AJ43=$AJ44,$AK44&gt;$AK43),$AI43,$AI44)</f>
        <v>NILMAR</v>
      </c>
      <c r="AM44" s="14">
        <f>VLOOKUP($AL44,$V43:$AD46,9,FALSE)</f>
        <v>5</v>
      </c>
      <c r="AN44" s="14">
        <f>VLOOKUP($AL44,$V43:$AD46,8,FALSE)</f>
        <v>1</v>
      </c>
      <c r="AO44" s="14" t="str">
        <f>IF(AND($AM44=$AM46,$AN46&gt;$AN44),$AL46,$AL44)</f>
        <v>NILMAR</v>
      </c>
      <c r="AP44" s="14">
        <f>VLOOKUP($AO44,$V43:$AD46,9,FALSE)</f>
        <v>5</v>
      </c>
      <c r="AQ44" s="14">
        <f>VLOOKUP($AO44,$V43:$AD46,8,FALSE)</f>
        <v>1</v>
      </c>
      <c r="AR44" s="14" t="str">
        <f>IF(AND($AP44=$AP45,$AQ45&gt;$AQ44),$AO45,$AO44)</f>
        <v>NILMAR</v>
      </c>
      <c r="AS44" s="14">
        <f>VLOOKUP($AR44,$V43:$AD46,9,FALSE)</f>
        <v>5</v>
      </c>
      <c r="AT44" s="14">
        <f>VLOOKUP($AR44,$V43:$AD46,8,FALSE)</f>
        <v>1</v>
      </c>
      <c r="AU44" s="14">
        <f>VLOOKUP($AR44,$V43:$AD46,6,FALSE)</f>
        <v>1</v>
      </c>
      <c r="AV44" s="14" t="str">
        <f>IF(AND($AS43=$AS44,$AT43=$AT44,$AU44&gt;$AU43),$AR43,$AR44)</f>
        <v>NILMAR</v>
      </c>
      <c r="AW44" s="14">
        <f>VLOOKUP($AV44,$V43:$AD46,9,FALSE)</f>
        <v>5</v>
      </c>
      <c r="AX44" s="14">
        <f>VLOOKUP($AV44,$V43:$AD46,8,FALSE)</f>
        <v>1</v>
      </c>
      <c r="AY44" s="14">
        <f>VLOOKUP($AV44,$V43:$AD46,6,FALSE)</f>
        <v>1</v>
      </c>
      <c r="AZ44" s="14" t="str">
        <f>IF(AND($AW44=$AW46,$AX44=$AX46,$AY46&gt;$AY44),$AV46,$AV44)</f>
        <v>NILMAR</v>
      </c>
      <c r="BA44" s="14">
        <f>VLOOKUP($AZ44,$V43:$AD46,9,FALSE)</f>
        <v>5</v>
      </c>
      <c r="BB44" s="14">
        <f>VLOOKUP($AZ44,$V43:$AD46,8,FALSE)</f>
        <v>1</v>
      </c>
      <c r="BC44" s="14">
        <f>VLOOKUP($AZ44,$V43:$AD46,6,FALSE)</f>
        <v>1</v>
      </c>
      <c r="BD44" s="14" t="str">
        <f>IF(AND($BA44=$BA45,$BB44=$BB45,$BC45&gt;$BC44),$AZ45,$AZ44)</f>
        <v>NILMAR</v>
      </c>
      <c r="BE44" s="14">
        <f>VLOOKUP($BD44,$V43:$AD46,9,FALSE)</f>
        <v>5</v>
      </c>
      <c r="BF44" s="14">
        <f>VLOOKUP($BD44,$V43:$AD46,8,FALSE)</f>
        <v>1</v>
      </c>
      <c r="BG44" s="14">
        <f>VLOOKUP($BD44,$V43:$AD46,6,FALSE)</f>
        <v>1</v>
      </c>
      <c r="BK44" s="14" t="str">
        <f>BD44</f>
        <v>NILMAR</v>
      </c>
      <c r="BL44" s="14">
        <f>VLOOKUP($BK44,$V43:$AD46,2,FALSE)</f>
        <v>3</v>
      </c>
      <c r="BM44" s="14">
        <f>VLOOKUP($BK44,$V43:$AD46,3,FALSE)</f>
        <v>1</v>
      </c>
      <c r="BN44" s="14">
        <f>VLOOKUP($BK44,$V43:$AD46,4,FALSE)</f>
        <v>0</v>
      </c>
      <c r="BO44" s="14">
        <f>VLOOKUP($BK44,$V43:$AD46,5,FALSE)</f>
        <v>2</v>
      </c>
      <c r="BP44" s="14">
        <f>VLOOKUP($BK44,$V43:$AD46,6,FALSE)</f>
        <v>1</v>
      </c>
      <c r="BQ44" s="14">
        <f>VLOOKUP($BK44,$V43:$AD46,7,FALSE)</f>
        <v>0</v>
      </c>
      <c r="BR44" s="14">
        <f>VLOOKUP($BK44,$V43:$AD46,8,FALSE)</f>
        <v>1</v>
      </c>
      <c r="BS44" s="14">
        <f>VLOOKUP($BK44,$V43:$AD46,9,FALSE)</f>
        <v>5</v>
      </c>
    </row>
    <row r="45" spans="1:71" ht="13.5" customHeight="1" thickBot="1">
      <c r="A45" s="26">
        <v>3</v>
      </c>
      <c r="B45" s="33">
        <v>5</v>
      </c>
      <c r="C45" s="34" t="str">
        <f>'Chaves 1a.Fase'!C4</f>
        <v>ZILBER</v>
      </c>
      <c r="D45" s="88">
        <v>0</v>
      </c>
      <c r="E45" s="87">
        <v>0</v>
      </c>
      <c r="F45" s="35" t="str">
        <f>'Chaves 1a.Fase'!C2</f>
        <v>RODRIGO B.</v>
      </c>
      <c r="G45" s="36" t="str">
        <f>'Chaves 1a.Fase'!B20</f>
        <v>TERROZO</v>
      </c>
      <c r="H45" s="26"/>
      <c r="I45" s="14" t="str">
        <f t="shared" si="1"/>
        <v>Draw</v>
      </c>
      <c r="J45" s="14" t="str">
        <f t="shared" si="2"/>
        <v>Draw</v>
      </c>
      <c r="L45" s="22"/>
      <c r="M45" s="23" t="s">
        <v>83</v>
      </c>
      <c r="N45" s="23" t="s">
        <v>84</v>
      </c>
      <c r="O45" s="23" t="s">
        <v>85</v>
      </c>
      <c r="P45" s="23" t="s">
        <v>86</v>
      </c>
      <c r="Q45" s="23" t="s">
        <v>87</v>
      </c>
      <c r="R45" s="23" t="s">
        <v>88</v>
      </c>
      <c r="S45" s="23" t="s">
        <v>89</v>
      </c>
      <c r="T45" s="24" t="s">
        <v>90</v>
      </c>
      <c r="V45" s="14" t="str">
        <f>'Chaves 1a.Fase'!B10</f>
        <v>SILVIO</v>
      </c>
      <c r="W45" s="14">
        <f>COUNT(AMAZONAS_JOGOS)</f>
        <v>3</v>
      </c>
      <c r="X45" s="14">
        <f>COUNTIF(Groupstage_Winners,'Chaves 1a.Fase'!B10)</f>
        <v>2</v>
      </c>
      <c r="Y45" s="14">
        <f>COUNTIF(Groupstage_Losers,'Chaves 1a.Fase'!B10)</f>
        <v>0</v>
      </c>
      <c r="Z45" s="14">
        <f>W45-(X45+Y45)</f>
        <v>1</v>
      </c>
      <c r="AA45" s="14">
        <f>SUM(AMAZONAS_JOGOS)</f>
        <v>3</v>
      </c>
      <c r="AB45" s="14">
        <f>SUM(AMAZONAS_ADV)</f>
        <v>0</v>
      </c>
      <c r="AC45" s="14">
        <f>AA45-AB45</f>
        <v>3</v>
      </c>
      <c r="AD45" s="14">
        <f>X45*Winpoints+Z45*Drawpoints</f>
        <v>7</v>
      </c>
      <c r="AE45" s="14" t="str">
        <f>IF($AD45&gt;=$AD46,$V45,$V46)</f>
        <v>SILVIO</v>
      </c>
      <c r="AF45" s="14">
        <f>VLOOKUP($AE45,$V43:$AD46,9,FALSE)</f>
        <v>7</v>
      </c>
      <c r="AG45" s="14" t="str">
        <f>IF($AF45&lt;=$AF43,$AE45,$AE43)</f>
        <v>FERNANDO</v>
      </c>
      <c r="AH45" s="14">
        <f>VLOOKUP($AG45,$V43:$AD46,9,FALSE)</f>
        <v>4</v>
      </c>
      <c r="AI45" s="14" t="str">
        <f>IF($AH45&lt;=$AH44,$AG45,$AG44)</f>
        <v>FERNANDO</v>
      </c>
      <c r="AJ45" s="14">
        <f>VLOOKUP($AI45,$V43:$AD46,9,FALSE)</f>
        <v>4</v>
      </c>
      <c r="AK45" s="14">
        <f>VLOOKUP($AI45,$V43:$AD46,8,FALSE)</f>
        <v>-1</v>
      </c>
      <c r="AL45" s="14" t="str">
        <f>IF(AND($AJ45=$AJ46,$AK46&gt;$AK45),$AI46,$AI45)</f>
        <v>FERNANDO</v>
      </c>
      <c r="AM45" s="14">
        <f>VLOOKUP($AL45,$V43:$AD46,9,FALSE)</f>
        <v>4</v>
      </c>
      <c r="AN45" s="14">
        <f>VLOOKUP($AL45,$V43:$AD46,8,FALSE)</f>
        <v>-1</v>
      </c>
      <c r="AO45" s="14" t="str">
        <f>IF(AND($AM43=$AM45,$AN45&gt;$AN43),$AL43,$AL45)</f>
        <v>FERNANDO</v>
      </c>
      <c r="AP45" s="14">
        <f>VLOOKUP($AO45,$V43:$AD46,9,FALSE)</f>
        <v>4</v>
      </c>
      <c r="AQ45" s="14">
        <f>VLOOKUP($AO45,$V43:$AD46,8,FALSE)</f>
        <v>-1</v>
      </c>
      <c r="AR45" s="14" t="str">
        <f>IF(AND($AP44=$AP45,$AQ45&gt;$AQ44),$AO44,$AO45)</f>
        <v>FERNANDO</v>
      </c>
      <c r="AS45" s="14">
        <f>VLOOKUP($AR45,$V43:$AD46,9,FALSE)</f>
        <v>4</v>
      </c>
      <c r="AT45" s="14">
        <f>VLOOKUP($AR45,$V43:$AD46,8,FALSE)</f>
        <v>-1</v>
      </c>
      <c r="AU45" s="14">
        <f>VLOOKUP($AR45,$V43:$AD46,6,FALSE)</f>
        <v>1</v>
      </c>
      <c r="AV45" s="14" t="str">
        <f>IF(AND($AS45=$AS46,$AT45=$AT46,$AU46&gt;$AU45),$AR46,$AR45)</f>
        <v>FERNANDO</v>
      </c>
      <c r="AW45" s="14">
        <f>VLOOKUP($AV45,$V43:$AD46,9,FALSE)</f>
        <v>4</v>
      </c>
      <c r="AX45" s="14">
        <f>VLOOKUP($AV45,$V43:$AD46,8,FALSE)</f>
        <v>-1</v>
      </c>
      <c r="AY45" s="14">
        <f>VLOOKUP($AV45,$V43:$AD46,6,FALSE)</f>
        <v>1</v>
      </c>
      <c r="AZ45" s="14" t="str">
        <f>IF(AND($AW43=$AW45,$AX43=$AX45,$AY45&gt;$AY43),$AV43,$AV45)</f>
        <v>FERNANDO</v>
      </c>
      <c r="BA45" s="14">
        <f>VLOOKUP($AZ45,$V43:$AD46,9,FALSE)</f>
        <v>4</v>
      </c>
      <c r="BB45" s="14">
        <f>VLOOKUP($AZ45,$V43:$AD46,8,FALSE)</f>
        <v>-1</v>
      </c>
      <c r="BC45" s="14">
        <f>VLOOKUP($AZ45,$V43:$AD46,6,FALSE)</f>
        <v>1</v>
      </c>
      <c r="BD45" s="14" t="str">
        <f>IF(AND($BA44=$BA45,$BB44=$BB45,$BC45&gt;$BC44),$AZ44,$AZ45)</f>
        <v>FERNANDO</v>
      </c>
      <c r="BE45" s="14">
        <f>VLOOKUP($BD45,$V43:$AD46,9,FALSE)</f>
        <v>4</v>
      </c>
      <c r="BF45" s="14">
        <f>VLOOKUP($BD45,$V43:$AD46,8,FALSE)</f>
        <v>-1</v>
      </c>
      <c r="BG45" s="14">
        <f>VLOOKUP($BD45,$V43:$AD46,6,FALSE)</f>
        <v>1</v>
      </c>
      <c r="BK45" s="14" t="str">
        <f>BD45</f>
        <v>FERNANDO</v>
      </c>
      <c r="BL45" s="14">
        <f>VLOOKUP($BK45,$V43:$AD46,2,FALSE)</f>
        <v>3</v>
      </c>
      <c r="BM45" s="14">
        <f>VLOOKUP($BK45,$V43:$AD46,3,FALSE)</f>
        <v>1</v>
      </c>
      <c r="BN45" s="14">
        <f>VLOOKUP($BK45,$V43:$AD46,4,FALSE)</f>
        <v>1</v>
      </c>
      <c r="BO45" s="14">
        <f>VLOOKUP($BK45,$V43:$AD46,5,FALSE)</f>
        <v>1</v>
      </c>
      <c r="BP45" s="14">
        <f>VLOOKUP($BK45,$V43:$AD46,6,FALSE)</f>
        <v>1</v>
      </c>
      <c r="BQ45" s="14">
        <f>VLOOKUP($BK45,$V43:$AD46,7,FALSE)</f>
        <v>2</v>
      </c>
      <c r="BR45" s="14">
        <f>VLOOKUP($BK45,$V43:$AD46,8,FALSE)</f>
        <v>-1</v>
      </c>
      <c r="BS45" s="14">
        <f>VLOOKUP($BK45,$V43:$AD46,9,FALSE)</f>
        <v>4</v>
      </c>
    </row>
    <row r="46" spans="1:71" ht="13.5" customHeight="1" thickBot="1">
      <c r="A46" s="26">
        <v>3</v>
      </c>
      <c r="B46" s="33">
        <v>6</v>
      </c>
      <c r="C46" s="34" t="str">
        <f>'Chaves 1a.Fase'!C5</f>
        <v>CAJU</v>
      </c>
      <c r="D46" s="88">
        <v>0</v>
      </c>
      <c r="E46" s="87">
        <v>0</v>
      </c>
      <c r="F46" s="35" t="str">
        <f>'Chaves 1a.Fase'!C3</f>
        <v>ANTONIO</v>
      </c>
      <c r="G46" s="36" t="str">
        <f>'Chaves 1a.Fase'!B21</f>
        <v>BRANDÃO</v>
      </c>
      <c r="H46" s="26"/>
      <c r="I46" s="14" t="str">
        <f t="shared" si="1"/>
        <v>Draw</v>
      </c>
      <c r="J46" s="14" t="str">
        <f t="shared" si="2"/>
        <v>Draw</v>
      </c>
      <c r="L46" s="25" t="str">
        <f aca="true" t="shared" si="8" ref="L46:T49">BK50</f>
        <v>MARQUINHO</v>
      </c>
      <c r="M46" s="26">
        <f t="shared" si="8"/>
        <v>3</v>
      </c>
      <c r="N46" s="26">
        <f t="shared" si="8"/>
        <v>2</v>
      </c>
      <c r="O46" s="26">
        <f t="shared" si="8"/>
        <v>0</v>
      </c>
      <c r="P46" s="26">
        <f t="shared" si="8"/>
        <v>1</v>
      </c>
      <c r="Q46" s="26">
        <f t="shared" si="8"/>
        <v>4</v>
      </c>
      <c r="R46" s="26">
        <f t="shared" si="8"/>
        <v>1</v>
      </c>
      <c r="S46" s="26">
        <f t="shared" si="8"/>
        <v>3</v>
      </c>
      <c r="T46" s="27">
        <f t="shared" si="8"/>
        <v>7</v>
      </c>
      <c r="V46" s="14" t="str">
        <f>'Chaves 1a.Fase'!B11</f>
        <v>NILMAR</v>
      </c>
      <c r="W46" s="14">
        <f>COUNT(ALAGOAS_JOGOS)</f>
        <v>3</v>
      </c>
      <c r="X46" s="14">
        <f>COUNTIF(Groupstage_Winners,'Chaves 1a.Fase'!B11)</f>
        <v>1</v>
      </c>
      <c r="Y46" s="14">
        <f>COUNTIF(Groupstage_Losers,'Chaves 1a.Fase'!B11)</f>
        <v>0</v>
      </c>
      <c r="Z46" s="14">
        <f>W46-(X46+Y46)</f>
        <v>2</v>
      </c>
      <c r="AA46" s="14">
        <f>SUM(ALAGOAS_JOGOS)</f>
        <v>1</v>
      </c>
      <c r="AB46" s="14">
        <f>SUM(ALAGOAS_ADV)</f>
        <v>0</v>
      </c>
      <c r="AC46" s="14">
        <f>AA46-AB46</f>
        <v>1</v>
      </c>
      <c r="AD46" s="14">
        <f>X46*Winpoints+Z46*Drawpoints</f>
        <v>5</v>
      </c>
      <c r="AE46" s="14" t="str">
        <f>IF($AD46&lt;=$AD45,$V46,$V45)</f>
        <v>NILMAR</v>
      </c>
      <c r="AF46" s="14">
        <f>VLOOKUP($AE46,$V43:$AD46,9,FALSE)</f>
        <v>5</v>
      </c>
      <c r="AG46" s="14" t="str">
        <f>IF(AF46&lt;=AF44,AE46,AE44)</f>
        <v>AUGUSTO</v>
      </c>
      <c r="AH46" s="14">
        <f>VLOOKUP($AG46,$V43:$AD46,9,FALSE)</f>
        <v>0</v>
      </c>
      <c r="AI46" s="14" t="str">
        <f>IF($AH46&lt;=$AH43,$AG46,$AG43)</f>
        <v>AUGUSTO</v>
      </c>
      <c r="AJ46" s="14">
        <f>VLOOKUP($AI46,$V43:$AD46,9,FALSE)</f>
        <v>0</v>
      </c>
      <c r="AK46" s="14">
        <f>VLOOKUP($AI46,$V43:$AD46,8,FALSE)</f>
        <v>-3</v>
      </c>
      <c r="AL46" s="14" t="str">
        <f>IF(AND($AJ45=$AJ46,$AK46&gt;$AK45),$AI45,$AI46)</f>
        <v>AUGUSTO</v>
      </c>
      <c r="AM46" s="14">
        <f>VLOOKUP($AL46,$V43:$AD46,9,FALSE)</f>
        <v>0</v>
      </c>
      <c r="AN46" s="14">
        <f>VLOOKUP($AL46,$V43:$AD46,8,FALSE)</f>
        <v>-3</v>
      </c>
      <c r="AO46" s="14" t="str">
        <f>IF(AND($AM44=$AM46,$AN46&gt;$AN44),$AL44,$AL46)</f>
        <v>AUGUSTO</v>
      </c>
      <c r="AP46" s="14">
        <f>VLOOKUP($AO46,$V43:$AD46,9,FALSE)</f>
        <v>0</v>
      </c>
      <c r="AQ46" s="14">
        <f>VLOOKUP($AO46,$V43:$AD46,8,FALSE)</f>
        <v>-3</v>
      </c>
      <c r="AR46" s="14" t="str">
        <f>IF(AND($AP43=$AP46,$AQ46&gt;$AQ43),$AO43,$AO46)</f>
        <v>AUGUSTO</v>
      </c>
      <c r="AS46" s="14">
        <f>VLOOKUP($AR46,$V43:$AD46,9,FALSE)</f>
        <v>0</v>
      </c>
      <c r="AT46" s="14">
        <f>VLOOKUP($AR46,$V43:$AD46,8,FALSE)</f>
        <v>-3</v>
      </c>
      <c r="AU46" s="14">
        <f>VLOOKUP($AR46,$V43:$AD46,6,FALSE)</f>
        <v>0</v>
      </c>
      <c r="AV46" s="14" t="str">
        <f>IF(AND($AS45=$AS46,$AT45=$AT46,$AU46&gt;$AU45),$AR45,$AR46)</f>
        <v>AUGUSTO</v>
      </c>
      <c r="AW46" s="14">
        <f>VLOOKUP($AV46,$V43:$AD46,9,FALSE)</f>
        <v>0</v>
      </c>
      <c r="AX46" s="14">
        <f>VLOOKUP($AV46,$V43:$AD46,8,FALSE)</f>
        <v>-3</v>
      </c>
      <c r="AY46" s="14">
        <f>VLOOKUP($AV46,$V43:$AD46,6,FALSE)</f>
        <v>0</v>
      </c>
      <c r="AZ46" s="14" t="str">
        <f>IF(AND($AW44=$AW46,$AX44=$AX46,$AY46&gt;$AY44),$AV44,$AV46)</f>
        <v>AUGUSTO</v>
      </c>
      <c r="BA46" s="14">
        <f>VLOOKUP($AZ46,$V43:$AD46,9,FALSE)</f>
        <v>0</v>
      </c>
      <c r="BB46" s="14">
        <f>VLOOKUP($AZ46,$V43:$AD46,8,FALSE)</f>
        <v>-3</v>
      </c>
      <c r="BC46" s="14">
        <f>VLOOKUP($AZ46,$V43:$AD46,6,FALSE)</f>
        <v>0</v>
      </c>
      <c r="BD46" s="14" t="str">
        <f>IF(AND($BA43=$BA46,$BB43=$BB46,$BC46&gt;$BC43),$AZ43,$AZ46)</f>
        <v>AUGUSTO</v>
      </c>
      <c r="BE46" s="14">
        <f>VLOOKUP($BD46,$V43:$AD46,9,FALSE)</f>
        <v>0</v>
      </c>
      <c r="BF46" s="14">
        <f>VLOOKUP($BD46,$V43:$AD46,8,FALSE)</f>
        <v>-3</v>
      </c>
      <c r="BG46" s="14">
        <f>VLOOKUP($BD46,$V43:$AD46,6,FALSE)</f>
        <v>0</v>
      </c>
      <c r="BK46" s="14" t="str">
        <f>BD46</f>
        <v>AUGUSTO</v>
      </c>
      <c r="BL46" s="14">
        <f>VLOOKUP($BK46,$V43:$AD46,2,FALSE)</f>
        <v>3</v>
      </c>
      <c r="BM46" s="14">
        <f>VLOOKUP($BK46,$V43:$AD46,3,FALSE)</f>
        <v>0</v>
      </c>
      <c r="BN46" s="14">
        <f>VLOOKUP($BK46,$V43:$AD46,4,FALSE)</f>
        <v>3</v>
      </c>
      <c r="BO46" s="14">
        <f>VLOOKUP($BK46,$V43:$AD46,5,FALSE)</f>
        <v>0</v>
      </c>
      <c r="BP46" s="14">
        <f>VLOOKUP($BK46,$V43:$AD46,6,FALSE)</f>
        <v>0</v>
      </c>
      <c r="BQ46" s="14">
        <f>VLOOKUP($BK46,$V43:$AD46,7,FALSE)</f>
        <v>3</v>
      </c>
      <c r="BR46" s="14">
        <f>VLOOKUP($BK46,$V43:$AD46,8,FALSE)</f>
        <v>-3</v>
      </c>
      <c r="BS46" s="14">
        <f>VLOOKUP($BK46,$V43:$AD46,9,FALSE)</f>
        <v>0</v>
      </c>
    </row>
    <row r="47" spans="1:20" ht="13.5" customHeight="1" thickBot="1">
      <c r="A47" s="26">
        <v>4</v>
      </c>
      <c r="B47" s="33">
        <v>7</v>
      </c>
      <c r="C47" s="34" t="str">
        <f>'Chaves 1a.Fase'!D4</f>
        <v>PAIM</v>
      </c>
      <c r="D47" s="88">
        <v>1</v>
      </c>
      <c r="E47" s="87">
        <v>0</v>
      </c>
      <c r="F47" s="35" t="str">
        <f>'Chaves 1a.Fase'!D2</f>
        <v>LUCIANO</v>
      </c>
      <c r="G47" s="36" t="str">
        <f>'Chaves 1a.Fase'!B22</f>
        <v>JOSÉ</v>
      </c>
      <c r="H47" s="26"/>
      <c r="I47" s="14" t="str">
        <f t="shared" si="1"/>
        <v>PAIM</v>
      </c>
      <c r="J47" s="14" t="str">
        <f t="shared" si="2"/>
        <v>LUCIANO</v>
      </c>
      <c r="L47" s="25" t="str">
        <f t="shared" si="8"/>
        <v>SINVAL</v>
      </c>
      <c r="M47" s="26">
        <f t="shared" si="8"/>
        <v>3</v>
      </c>
      <c r="N47" s="26">
        <f t="shared" si="8"/>
        <v>2</v>
      </c>
      <c r="O47" s="26">
        <f t="shared" si="8"/>
        <v>1</v>
      </c>
      <c r="P47" s="26">
        <f t="shared" si="8"/>
        <v>0</v>
      </c>
      <c r="Q47" s="26">
        <f t="shared" si="8"/>
        <v>3</v>
      </c>
      <c r="R47" s="26">
        <f t="shared" si="8"/>
        <v>3</v>
      </c>
      <c r="S47" s="26">
        <f t="shared" si="8"/>
        <v>0</v>
      </c>
      <c r="T47" s="27">
        <f t="shared" si="8"/>
        <v>6</v>
      </c>
    </row>
    <row r="48" spans="1:22" ht="13.5" customHeight="1" thickBot="1">
      <c r="A48" s="26">
        <v>4</v>
      </c>
      <c r="B48" s="33">
        <v>8</v>
      </c>
      <c r="C48" s="34" t="str">
        <f>'Chaves 1a.Fase'!D5</f>
        <v>JULIO</v>
      </c>
      <c r="D48" s="88">
        <v>0</v>
      </c>
      <c r="E48" s="87">
        <v>1</v>
      </c>
      <c r="F48" s="35" t="str">
        <f>'Chaves 1a.Fase'!D3</f>
        <v>EMERSON</v>
      </c>
      <c r="G48" s="36" t="str">
        <f>'Chaves 1a.Fase'!B23</f>
        <v>SANDRO</v>
      </c>
      <c r="H48" s="26"/>
      <c r="I48" s="14" t="str">
        <f t="shared" si="1"/>
        <v>EMERSON</v>
      </c>
      <c r="J48" s="14" t="str">
        <f t="shared" si="2"/>
        <v>JULIO</v>
      </c>
      <c r="L48" s="25" t="str">
        <f t="shared" si="8"/>
        <v>SERGIO</v>
      </c>
      <c r="M48" s="26">
        <f t="shared" si="8"/>
        <v>3</v>
      </c>
      <c r="N48" s="26">
        <f t="shared" si="8"/>
        <v>1</v>
      </c>
      <c r="O48" s="26">
        <f t="shared" si="8"/>
        <v>2</v>
      </c>
      <c r="P48" s="26">
        <f t="shared" si="8"/>
        <v>0</v>
      </c>
      <c r="Q48" s="26">
        <f t="shared" si="8"/>
        <v>4</v>
      </c>
      <c r="R48" s="26">
        <f t="shared" si="8"/>
        <v>4</v>
      </c>
      <c r="S48" s="26">
        <f t="shared" si="8"/>
        <v>0</v>
      </c>
      <c r="T48" s="27">
        <f t="shared" si="8"/>
        <v>3</v>
      </c>
      <c r="V48" s="14" t="s">
        <v>123</v>
      </c>
    </row>
    <row r="49" spans="1:30" ht="13.5" customHeight="1" thickBot="1">
      <c r="A49" s="26">
        <v>5</v>
      </c>
      <c r="B49" s="33">
        <v>9</v>
      </c>
      <c r="C49" s="34" t="str">
        <f>'Chaves 1a.Fase'!A10</f>
        <v>DIOGO MALLET</v>
      </c>
      <c r="D49" s="88">
        <v>1</v>
      </c>
      <c r="E49" s="87">
        <v>0</v>
      </c>
      <c r="F49" s="35" t="str">
        <f>'Chaves 1a.Fase'!A8</f>
        <v>MARCOS JUNQ.</v>
      </c>
      <c r="G49" s="36" t="str">
        <f>'Chaves 1a.Fase'!C20</f>
        <v>THIAGO SCH.</v>
      </c>
      <c r="H49" s="26"/>
      <c r="I49" s="14" t="str">
        <f t="shared" si="1"/>
        <v>DIOGO MALLET</v>
      </c>
      <c r="J49" s="14" t="str">
        <f t="shared" si="2"/>
        <v>MARCOS JUNQ.</v>
      </c>
      <c r="L49" s="37" t="str">
        <f t="shared" si="8"/>
        <v>MARCOS ANT.</v>
      </c>
      <c r="M49" s="38">
        <f t="shared" si="8"/>
        <v>3</v>
      </c>
      <c r="N49" s="38">
        <f t="shared" si="8"/>
        <v>0</v>
      </c>
      <c r="O49" s="38">
        <f t="shared" si="8"/>
        <v>2</v>
      </c>
      <c r="P49" s="38">
        <f t="shared" si="8"/>
        <v>1</v>
      </c>
      <c r="Q49" s="38">
        <f t="shared" si="8"/>
        <v>0</v>
      </c>
      <c r="R49" s="38">
        <f t="shared" si="8"/>
        <v>3</v>
      </c>
      <c r="S49" s="38">
        <f t="shared" si="8"/>
        <v>-3</v>
      </c>
      <c r="T49" s="39">
        <f t="shared" si="8"/>
        <v>1</v>
      </c>
      <c r="W49" s="14" t="s">
        <v>107</v>
      </c>
      <c r="X49" s="14" t="s">
        <v>108</v>
      </c>
      <c r="Y49" s="14" t="s">
        <v>109</v>
      </c>
      <c r="Z49" s="14" t="s">
        <v>85</v>
      </c>
      <c r="AA49" s="14" t="s">
        <v>110</v>
      </c>
      <c r="AB49" s="14" t="s">
        <v>111</v>
      </c>
      <c r="AC49" s="14" t="s">
        <v>112</v>
      </c>
      <c r="AD49" s="14" t="s">
        <v>113</v>
      </c>
    </row>
    <row r="50" spans="1:71" ht="13.5" customHeight="1" thickBot="1">
      <c r="A50" s="40">
        <v>5</v>
      </c>
      <c r="B50" s="41">
        <v>10</v>
      </c>
      <c r="C50" s="42" t="str">
        <f>'Chaves 1a.Fase'!A11</f>
        <v>UMBERTO</v>
      </c>
      <c r="D50" s="89">
        <v>0</v>
      </c>
      <c r="E50" s="89">
        <v>2</v>
      </c>
      <c r="F50" s="43" t="str">
        <f>'Chaves 1a.Fase'!A9</f>
        <v>MICHEL</v>
      </c>
      <c r="G50" s="43" t="str">
        <f>'Chaves 1a.Fase'!C21</f>
        <v>MATEUS</v>
      </c>
      <c r="H50" s="40"/>
      <c r="I50" s="14" t="str">
        <f t="shared" si="1"/>
        <v>MICHEL</v>
      </c>
      <c r="J50" s="14" t="str">
        <f t="shared" si="2"/>
        <v>UMBERTO</v>
      </c>
      <c r="V50" s="14" t="str">
        <f>'Chaves 1a.Fase'!C8</f>
        <v>MARQUINHO</v>
      </c>
      <c r="W50" s="14">
        <f>COUNT(ACRE_JOGOS)</f>
        <v>3</v>
      </c>
      <c r="X50" s="14">
        <f>COUNTIF(Groupstage_Winners,'Chaves 1a.Fase'!C8)</f>
        <v>2</v>
      </c>
      <c r="Y50" s="14">
        <f>COUNTIF(Groupstage_Losers,'Chaves 1a.Fase'!C8)</f>
        <v>0</v>
      </c>
      <c r="Z50" s="14">
        <f>W50-(X50+Y50)</f>
        <v>1</v>
      </c>
      <c r="AA50" s="14">
        <f>SUM(ACRE_JOGOS)</f>
        <v>4</v>
      </c>
      <c r="AB50" s="14">
        <f>SUM(ACRE_ADV)</f>
        <v>1</v>
      </c>
      <c r="AC50" s="14">
        <f>AA50-AB50</f>
        <v>3</v>
      </c>
      <c r="AD50" s="14">
        <f>X50*Winpoints+Z50*Drawpoints</f>
        <v>7</v>
      </c>
      <c r="AE50" s="14" t="str">
        <f>IF($AD50&gt;=$AD51,$V50,$V51)</f>
        <v>MARQUINHO</v>
      </c>
      <c r="AF50" s="14">
        <f>VLOOKUP($AE50,$V50:$AD53,9,FALSE)</f>
        <v>7</v>
      </c>
      <c r="AG50" s="14" t="str">
        <f>IF($AF50&gt;=$AF52,$AE50,$AE52)</f>
        <v>MARQUINHO</v>
      </c>
      <c r="AH50" s="14">
        <f>VLOOKUP($AG50,$V50:$AD53,9,FALSE)</f>
        <v>7</v>
      </c>
      <c r="AI50" s="14" t="str">
        <f>IF($AH50&gt;=$AH53,$AG50,$AG53)</f>
        <v>MARQUINHO</v>
      </c>
      <c r="AJ50" s="14">
        <f>VLOOKUP($AI50,$V50:$AD53,9,FALSE)</f>
        <v>7</v>
      </c>
      <c r="AK50" s="14">
        <f>VLOOKUP($AI50,$V50:$AD53,8,FALSE)</f>
        <v>3</v>
      </c>
      <c r="AL50" s="14" t="str">
        <f>IF(AND($AJ50=$AJ51,$AK51&gt;$AK50),$AI51,$AI50)</f>
        <v>MARQUINHO</v>
      </c>
      <c r="AM50" s="14">
        <f>VLOOKUP($AL50,$V50:$AD53,9,FALSE)</f>
        <v>7</v>
      </c>
      <c r="AN50" s="14">
        <f>VLOOKUP($AL50,$V50:$AD53,8,FALSE)</f>
        <v>3</v>
      </c>
      <c r="AO50" s="14" t="str">
        <f>IF(AND($AM50=$AM52,$AN52&gt;$AN50),$AL52,$AL50)</f>
        <v>MARQUINHO</v>
      </c>
      <c r="AP50" s="14">
        <f>VLOOKUP($AO50,$V50:$AD53,9,FALSE)</f>
        <v>7</v>
      </c>
      <c r="AQ50" s="14">
        <f>VLOOKUP($AO50,$V50:$AD53,8,FALSE)</f>
        <v>3</v>
      </c>
      <c r="AR50" s="14" t="str">
        <f>IF(AND($AP50=$AP53,$AQ53&gt;$AQ50),$AO53,$AO50)</f>
        <v>MARQUINHO</v>
      </c>
      <c r="AS50" s="14">
        <f>VLOOKUP($AR50,$V50:$AD53,9,FALSE)</f>
        <v>7</v>
      </c>
      <c r="AT50" s="14">
        <f>VLOOKUP($AR50,$V50:$AD53,8,FALSE)</f>
        <v>3</v>
      </c>
      <c r="AU50" s="14">
        <f>VLOOKUP($AR50,$V50:$AD53,6,FALSE)</f>
        <v>4</v>
      </c>
      <c r="AV50" s="14" t="str">
        <f>IF(AND($AS50=$AS51,$AT50=$AT51,$AU51&gt;$AU50),$AR51,$AR50)</f>
        <v>MARQUINHO</v>
      </c>
      <c r="AW50" s="14">
        <f>VLOOKUP($AV50,$V50:$AD53,9,FALSE)</f>
        <v>7</v>
      </c>
      <c r="AX50" s="14">
        <f>VLOOKUP($AV50,$V50:$AD53,8,FALSE)</f>
        <v>3</v>
      </c>
      <c r="AY50" s="14">
        <f>VLOOKUP($AV50,$V50:$AD53,6,FALSE)</f>
        <v>4</v>
      </c>
      <c r="AZ50" s="14" t="str">
        <f>IF(AND($AW50=$AW52,$AX50=$AX52,$AY52&gt;$AY50),$AV52,$AV50)</f>
        <v>MARQUINHO</v>
      </c>
      <c r="BA50" s="14">
        <f>VLOOKUP($AZ50,$V50:$AD53,9,FALSE)</f>
        <v>7</v>
      </c>
      <c r="BB50" s="14">
        <f>VLOOKUP($AZ50,$V50:$AD53,8,FALSE)</f>
        <v>3</v>
      </c>
      <c r="BC50" s="14">
        <f>VLOOKUP($AZ50,$V50:$AD53,6,FALSE)</f>
        <v>4</v>
      </c>
      <c r="BD50" s="14" t="str">
        <f>IF(AND($BA50=$BA53,$BB50=$BB53,$BC53&gt;$BC50),$AZ53,$AZ50)</f>
        <v>MARQUINHO</v>
      </c>
      <c r="BE50" s="14">
        <f>VLOOKUP($BD50,$V50:$AD53,9,FALSE)</f>
        <v>7</v>
      </c>
      <c r="BF50" s="14">
        <f>VLOOKUP($BD50,$V50:$AD53,8,FALSE)</f>
        <v>3</v>
      </c>
      <c r="BG50" s="14">
        <f>VLOOKUP($BD50,$V50:$AD53,6,FALSE)</f>
        <v>4</v>
      </c>
      <c r="BK50" s="14" t="str">
        <f>BD50</f>
        <v>MARQUINHO</v>
      </c>
      <c r="BL50" s="14">
        <f>VLOOKUP($BK50,$V50:$AD53,2,FALSE)</f>
        <v>3</v>
      </c>
      <c r="BM50" s="14">
        <f>VLOOKUP($BK50,$V50:$AD53,3,FALSE)</f>
        <v>2</v>
      </c>
      <c r="BN50" s="14">
        <f>VLOOKUP($BK50,$V50:$AD53,4,FALSE)</f>
        <v>0</v>
      </c>
      <c r="BO50" s="14">
        <f>VLOOKUP($BK50,$V50:$AD53,5,FALSE)</f>
        <v>1</v>
      </c>
      <c r="BP50" s="14">
        <f>VLOOKUP($BK50,$V50:$AD53,6,FALSE)</f>
        <v>4</v>
      </c>
      <c r="BQ50" s="14">
        <f>VLOOKUP($BK50,$V50:$AD53,7,FALSE)</f>
        <v>1</v>
      </c>
      <c r="BR50" s="14">
        <f>VLOOKUP($BK50,$V50:$AD53,8,FALSE)</f>
        <v>3</v>
      </c>
      <c r="BS50" s="14">
        <f>VLOOKUP($BK50,$V50:$AD53,9,FALSE)</f>
        <v>7</v>
      </c>
    </row>
    <row r="51" spans="1:71" ht="13.5" customHeight="1" thickBot="1">
      <c r="A51" s="26">
        <v>6</v>
      </c>
      <c r="B51" s="33">
        <v>11</v>
      </c>
      <c r="C51" s="34" t="str">
        <f>'Chaves 1a.Fase'!B10</f>
        <v>SILVIO</v>
      </c>
      <c r="D51" s="88">
        <v>2</v>
      </c>
      <c r="E51" s="87">
        <v>0</v>
      </c>
      <c r="F51" s="35" t="str">
        <f>'Chaves 1a.Fase'!B8</f>
        <v>FERNANDO</v>
      </c>
      <c r="G51" s="36" t="str">
        <f>'Chaves 1a.Fase'!C22</f>
        <v>ELISANDRO</v>
      </c>
      <c r="H51" s="26"/>
      <c r="I51" s="14" t="str">
        <f t="shared" si="1"/>
        <v>SILVIO</v>
      </c>
      <c r="J51" s="14" t="str">
        <f t="shared" si="2"/>
        <v>FERNANDO</v>
      </c>
      <c r="L51" s="19" t="s">
        <v>23</v>
      </c>
      <c r="M51" s="20"/>
      <c r="N51" s="20"/>
      <c r="O51" s="20"/>
      <c r="P51" s="20"/>
      <c r="Q51" s="20"/>
      <c r="R51" s="20"/>
      <c r="S51" s="20"/>
      <c r="T51" s="21"/>
      <c r="V51" s="14" t="str">
        <f>'Chaves 1a.Fase'!C9</f>
        <v>SINVAL</v>
      </c>
      <c r="W51" s="14">
        <f>COUNT(RONDONIA_JOGOS)</f>
        <v>3</v>
      </c>
      <c r="X51" s="14">
        <f>COUNTIF(Groupstage_Winners,'Chaves 1a.Fase'!C9)</f>
        <v>2</v>
      </c>
      <c r="Y51" s="14">
        <f>COUNTIF(Groupstage_Losers,'Chaves 1a.Fase'!C9)</f>
        <v>1</v>
      </c>
      <c r="Z51" s="14">
        <f>W51-(X51+Y51)</f>
        <v>0</v>
      </c>
      <c r="AA51" s="14">
        <f>SUM(RONDONIA_JOGOS)</f>
        <v>3</v>
      </c>
      <c r="AB51" s="14">
        <f>SUM(RONDONIA_ADV)</f>
        <v>3</v>
      </c>
      <c r="AC51" s="14">
        <f>AA51-AB51</f>
        <v>0</v>
      </c>
      <c r="AD51" s="14">
        <f>X51*Winpoints+Z51*Drawpoints</f>
        <v>6</v>
      </c>
      <c r="AE51" s="14" t="str">
        <f>IF($AD51&lt;=$AD50,$V51,$V50)</f>
        <v>SINVAL</v>
      </c>
      <c r="AF51" s="14">
        <f>VLOOKUP($AE51,$V50:$AD53,9,FALSE)</f>
        <v>6</v>
      </c>
      <c r="AG51" s="14" t="str">
        <f>IF(AF51&gt;=AF53,AE51,AE53)</f>
        <v>SINVAL</v>
      </c>
      <c r="AH51" s="14">
        <f>VLOOKUP($AG51,$V50:$AD53,9,FALSE)</f>
        <v>6</v>
      </c>
      <c r="AI51" s="14" t="str">
        <f>IF($AH51&gt;=$AH52,$AG51,$AG52)</f>
        <v>SINVAL</v>
      </c>
      <c r="AJ51" s="14">
        <f>VLOOKUP($AI51,$V50:$AD53,9,FALSE)</f>
        <v>6</v>
      </c>
      <c r="AK51" s="14">
        <f>VLOOKUP($AI51,$V50:$AD53,8,FALSE)</f>
        <v>0</v>
      </c>
      <c r="AL51" s="14" t="str">
        <f>IF(AND($AJ50=$AJ51,$AK51&gt;$AK50),$AI50,$AI51)</f>
        <v>SINVAL</v>
      </c>
      <c r="AM51" s="14">
        <f>VLOOKUP($AL51,$V50:$AD53,9,FALSE)</f>
        <v>6</v>
      </c>
      <c r="AN51" s="14">
        <f>VLOOKUP($AL51,$V50:$AD53,8,FALSE)</f>
        <v>0</v>
      </c>
      <c r="AO51" s="14" t="str">
        <f>IF(AND($AM51=$AM53,$AN53&gt;$AN51),$AL53,$AL51)</f>
        <v>SINVAL</v>
      </c>
      <c r="AP51" s="14">
        <f>VLOOKUP($AO51,$V50:$AD53,9,FALSE)</f>
        <v>6</v>
      </c>
      <c r="AQ51" s="14">
        <f>VLOOKUP($AO51,$V50:$AD53,8,FALSE)</f>
        <v>0</v>
      </c>
      <c r="AR51" s="14" t="str">
        <f>IF(AND($AP51=$AP52,$AQ52&gt;$AQ51),$AO52,$AO51)</f>
        <v>SINVAL</v>
      </c>
      <c r="AS51" s="14">
        <f>VLOOKUP($AR51,$V50:$AD53,9,FALSE)</f>
        <v>6</v>
      </c>
      <c r="AT51" s="14">
        <f>VLOOKUP($AR51,$V50:$AD53,8,FALSE)</f>
        <v>0</v>
      </c>
      <c r="AU51" s="14">
        <f>VLOOKUP($AR51,$V50:$AD53,6,FALSE)</f>
        <v>3</v>
      </c>
      <c r="AV51" s="14" t="str">
        <f>IF(AND($AS50=$AS51,$AT50=$AT51,$AU51&gt;$AU50),$AR50,$AR51)</f>
        <v>SINVAL</v>
      </c>
      <c r="AW51" s="14">
        <f>VLOOKUP($AV51,$V50:$AD53,9,FALSE)</f>
        <v>6</v>
      </c>
      <c r="AX51" s="14">
        <f>VLOOKUP($AV51,$V50:$AD53,8,FALSE)</f>
        <v>0</v>
      </c>
      <c r="AY51" s="14">
        <f>VLOOKUP($AV51,$V50:$AD53,6,FALSE)</f>
        <v>3</v>
      </c>
      <c r="AZ51" s="14" t="str">
        <f>IF(AND($AW51=$AW53,$AX51=$AX53,$AY53&gt;$AY51),$AV53,$AV51)</f>
        <v>SINVAL</v>
      </c>
      <c r="BA51" s="14">
        <f>VLOOKUP($AZ51,$V50:$AD53,9,FALSE)</f>
        <v>6</v>
      </c>
      <c r="BB51" s="14">
        <f>VLOOKUP($AZ51,$V50:$AD53,8,FALSE)</f>
        <v>0</v>
      </c>
      <c r="BC51" s="14">
        <f>VLOOKUP($AZ51,$V50:$AD53,6,FALSE)</f>
        <v>3</v>
      </c>
      <c r="BD51" s="14" t="str">
        <f>IF(AND($BA51=$BA52,$BB51=$BB52,$BC52&gt;$BC51),$AZ52,$AZ51)</f>
        <v>SINVAL</v>
      </c>
      <c r="BE51" s="14">
        <f>VLOOKUP($BD51,$V50:$AD53,9,FALSE)</f>
        <v>6</v>
      </c>
      <c r="BF51" s="14">
        <f>VLOOKUP($BD51,$V50:$AD53,8,FALSE)</f>
        <v>0</v>
      </c>
      <c r="BG51" s="14">
        <f>VLOOKUP($BD51,$V50:$AD53,6,FALSE)</f>
        <v>3</v>
      </c>
      <c r="BK51" s="14" t="str">
        <f>BD51</f>
        <v>SINVAL</v>
      </c>
      <c r="BL51" s="14">
        <f>VLOOKUP($BK51,$V50:$AD53,2,FALSE)</f>
        <v>3</v>
      </c>
      <c r="BM51" s="14">
        <f>VLOOKUP($BK51,$V50:$AD53,3,FALSE)</f>
        <v>2</v>
      </c>
      <c r="BN51" s="14">
        <f>VLOOKUP($BK51,$V50:$AD53,4,FALSE)</f>
        <v>1</v>
      </c>
      <c r="BO51" s="14">
        <f>VLOOKUP($BK51,$V50:$AD53,5,FALSE)</f>
        <v>0</v>
      </c>
      <c r="BP51" s="14">
        <f>VLOOKUP($BK51,$V50:$AD53,6,FALSE)</f>
        <v>3</v>
      </c>
      <c r="BQ51" s="14">
        <f>VLOOKUP($BK51,$V50:$AD53,7,FALSE)</f>
        <v>3</v>
      </c>
      <c r="BR51" s="14">
        <f>VLOOKUP($BK51,$V50:$AD53,8,FALSE)</f>
        <v>0</v>
      </c>
      <c r="BS51" s="14">
        <f>VLOOKUP($BK51,$V50:$AD53,9,FALSE)</f>
        <v>6</v>
      </c>
    </row>
    <row r="52" spans="1:71" ht="13.5" customHeight="1" thickBot="1">
      <c r="A52" s="26">
        <v>6</v>
      </c>
      <c r="B52" s="33">
        <v>12</v>
      </c>
      <c r="C52" s="34" t="str">
        <f>'Chaves 1a.Fase'!B11</f>
        <v>NILMAR</v>
      </c>
      <c r="D52" s="88">
        <v>1</v>
      </c>
      <c r="E52" s="87">
        <v>0</v>
      </c>
      <c r="F52" s="35" t="str">
        <f>'Chaves 1a.Fase'!B9</f>
        <v>AUGUSTO</v>
      </c>
      <c r="G52" s="36" t="str">
        <f>'Chaves 1a.Fase'!C23</f>
        <v>RUI</v>
      </c>
      <c r="H52" s="26"/>
      <c r="I52" s="14" t="str">
        <f t="shared" si="1"/>
        <v>NILMAR</v>
      </c>
      <c r="J52" s="14" t="str">
        <f t="shared" si="2"/>
        <v>AUGUSTO</v>
      </c>
      <c r="L52" s="22"/>
      <c r="M52" s="23" t="s">
        <v>83</v>
      </c>
      <c r="N52" s="23" t="s">
        <v>84</v>
      </c>
      <c r="O52" s="23" t="s">
        <v>85</v>
      </c>
      <c r="P52" s="23" t="s">
        <v>86</v>
      </c>
      <c r="Q52" s="23" t="s">
        <v>87</v>
      </c>
      <c r="R52" s="23" t="s">
        <v>88</v>
      </c>
      <c r="S52" s="23" t="s">
        <v>89</v>
      </c>
      <c r="T52" s="24" t="s">
        <v>90</v>
      </c>
      <c r="V52" s="14" t="str">
        <f>'Chaves 1a.Fase'!C10</f>
        <v>MARCOS ANT.</v>
      </c>
      <c r="W52" s="14">
        <f>COUNT(RORAIMA_JOGOS)</f>
        <v>3</v>
      </c>
      <c r="X52" s="14">
        <f>COUNTIF(Groupstage_Winners,'Chaves 1a.Fase'!C10)</f>
        <v>0</v>
      </c>
      <c r="Y52" s="14">
        <f>COUNTIF(Groupstage_Losers,'Chaves 1a.Fase'!C10)</f>
        <v>2</v>
      </c>
      <c r="Z52" s="14">
        <f>W52-(X52+Y52)</f>
        <v>1</v>
      </c>
      <c r="AA52" s="14">
        <f>SUM(RORAIMA_JOGOS)</f>
        <v>0</v>
      </c>
      <c r="AB52" s="14">
        <f>SUM(RORAIMA_ADV)</f>
        <v>3</v>
      </c>
      <c r="AC52" s="14">
        <f>AA52-AB52</f>
        <v>-3</v>
      </c>
      <c r="AD52" s="14">
        <f>X52*Winpoints+Z52*Drawpoints</f>
        <v>1</v>
      </c>
      <c r="AE52" s="14" t="str">
        <f>IF($AD52&gt;=$AD53,$V52,$V53)</f>
        <v>SERGIO</v>
      </c>
      <c r="AF52" s="14">
        <f>VLOOKUP($AE52,$V50:$AD53,9,FALSE)</f>
        <v>3</v>
      </c>
      <c r="AG52" s="14" t="str">
        <f>IF($AF52&lt;=$AF50,$AE52,$AE50)</f>
        <v>SERGIO</v>
      </c>
      <c r="AH52" s="14">
        <f>VLOOKUP($AG52,$V50:$AD53,9,FALSE)</f>
        <v>3</v>
      </c>
      <c r="AI52" s="14" t="str">
        <f>IF($AH52&lt;=$AH51,$AG52,$AG51)</f>
        <v>SERGIO</v>
      </c>
      <c r="AJ52" s="14">
        <f>VLOOKUP($AI52,$V50:$AD53,9,FALSE)</f>
        <v>3</v>
      </c>
      <c r="AK52" s="14">
        <f>VLOOKUP($AI52,$V50:$AD53,8,FALSE)</f>
        <v>0</v>
      </c>
      <c r="AL52" s="14" t="str">
        <f>IF(AND($AJ52=$AJ53,$AK53&gt;$AK52),$AI53,$AI52)</f>
        <v>SERGIO</v>
      </c>
      <c r="AM52" s="14">
        <f>VLOOKUP($AL52,$V50:$AD53,9,FALSE)</f>
        <v>3</v>
      </c>
      <c r="AN52" s="14">
        <f>VLOOKUP($AL52,$V50:$AD53,8,FALSE)</f>
        <v>0</v>
      </c>
      <c r="AO52" s="14" t="str">
        <f>IF(AND($AM50=$AM52,$AN52&gt;$AN50),$AL50,$AL52)</f>
        <v>SERGIO</v>
      </c>
      <c r="AP52" s="14">
        <f>VLOOKUP($AO52,$V50:$AD53,9,FALSE)</f>
        <v>3</v>
      </c>
      <c r="AQ52" s="14">
        <f>VLOOKUP($AO52,$V50:$AD53,8,FALSE)</f>
        <v>0</v>
      </c>
      <c r="AR52" s="14" t="str">
        <f>IF(AND($AP51=$AP52,$AQ52&gt;$AQ51),$AO51,$AO52)</f>
        <v>SERGIO</v>
      </c>
      <c r="AS52" s="14">
        <f>VLOOKUP($AR52,$V50:$AD53,9,FALSE)</f>
        <v>3</v>
      </c>
      <c r="AT52" s="14">
        <f>VLOOKUP($AR52,$V50:$AD53,8,FALSE)</f>
        <v>0</v>
      </c>
      <c r="AU52" s="14">
        <f>VLOOKUP($AR52,$V50:$AD53,6,FALSE)</f>
        <v>4</v>
      </c>
      <c r="AV52" s="14" t="str">
        <f>IF(AND($AS52=$AS53,$AT52=$AT53,$AU53&gt;$AU52),$AR53,$AR52)</f>
        <v>SERGIO</v>
      </c>
      <c r="AW52" s="14">
        <f>VLOOKUP($AV52,$V50:$AD53,9,FALSE)</f>
        <v>3</v>
      </c>
      <c r="AX52" s="14">
        <f>VLOOKUP($AV52,$V50:$AD53,8,FALSE)</f>
        <v>0</v>
      </c>
      <c r="AY52" s="14">
        <f>VLOOKUP($AV52,$V50:$AD53,6,FALSE)</f>
        <v>4</v>
      </c>
      <c r="AZ52" s="14" t="str">
        <f>IF(AND($AW50=$AW52,$AX50=$AX52,$AY52&gt;$AY50),$AV50,$AV52)</f>
        <v>SERGIO</v>
      </c>
      <c r="BA52" s="14">
        <f>VLOOKUP($AZ52,$V50:$AD53,9,FALSE)</f>
        <v>3</v>
      </c>
      <c r="BB52" s="14">
        <f>VLOOKUP($AZ52,$V50:$AD53,8,FALSE)</f>
        <v>0</v>
      </c>
      <c r="BC52" s="14">
        <f>VLOOKUP($AZ52,$V50:$AD53,6,FALSE)</f>
        <v>4</v>
      </c>
      <c r="BD52" s="14" t="str">
        <f>IF(AND($BA51=$BA52,$BB51=$BB52,$BC52&gt;$BC51),$AZ51,$AZ52)</f>
        <v>SERGIO</v>
      </c>
      <c r="BE52" s="14">
        <f>VLOOKUP($BD52,$V50:$AD53,9,FALSE)</f>
        <v>3</v>
      </c>
      <c r="BF52" s="14">
        <f>VLOOKUP($BD52,$V50:$AD53,8,FALSE)</f>
        <v>0</v>
      </c>
      <c r="BG52" s="14">
        <f>VLOOKUP($BD52,$V50:$AD53,6,FALSE)</f>
        <v>4</v>
      </c>
      <c r="BK52" s="14" t="str">
        <f>BD52</f>
        <v>SERGIO</v>
      </c>
      <c r="BL52" s="14">
        <f>VLOOKUP($BK52,$V50:$AD53,2,FALSE)</f>
        <v>3</v>
      </c>
      <c r="BM52" s="14">
        <f>VLOOKUP($BK52,$V50:$AD53,3,FALSE)</f>
        <v>1</v>
      </c>
      <c r="BN52" s="14">
        <f>VLOOKUP($BK52,$V50:$AD53,4,FALSE)</f>
        <v>2</v>
      </c>
      <c r="BO52" s="14">
        <f>VLOOKUP($BK52,$V50:$AD53,5,FALSE)</f>
        <v>0</v>
      </c>
      <c r="BP52" s="14">
        <f>VLOOKUP($BK52,$V50:$AD53,6,FALSE)</f>
        <v>4</v>
      </c>
      <c r="BQ52" s="14">
        <f>VLOOKUP($BK52,$V50:$AD53,7,FALSE)</f>
        <v>4</v>
      </c>
      <c r="BR52" s="14">
        <f>VLOOKUP($BK52,$V50:$AD53,8,FALSE)</f>
        <v>0</v>
      </c>
      <c r="BS52" s="14">
        <f>VLOOKUP($BK52,$V50:$AD53,9,FALSE)</f>
        <v>3</v>
      </c>
    </row>
    <row r="53" spans="1:71" ht="13.5" customHeight="1" thickBot="1">
      <c r="A53" s="26">
        <v>7</v>
      </c>
      <c r="B53" s="33">
        <v>13</v>
      </c>
      <c r="C53" s="34" t="str">
        <f>'Chaves 1a.Fase'!C10</f>
        <v>MARCOS ANT.</v>
      </c>
      <c r="D53" s="88">
        <v>0</v>
      </c>
      <c r="E53" s="87">
        <v>0</v>
      </c>
      <c r="F53" s="35" t="str">
        <f>'Chaves 1a.Fase'!C8</f>
        <v>MARQUINHO</v>
      </c>
      <c r="G53" s="36" t="str">
        <f>'Chaves 1a.Fase'!D20</f>
        <v>ROGÉRIO HAR.</v>
      </c>
      <c r="H53" s="26"/>
      <c r="I53" s="14" t="str">
        <f t="shared" si="1"/>
        <v>Draw</v>
      </c>
      <c r="J53" s="14" t="str">
        <f t="shared" si="2"/>
        <v>Draw</v>
      </c>
      <c r="L53" s="25" t="str">
        <f aca="true" t="shared" si="9" ref="L53:T56">BK57</f>
        <v>ALEX</v>
      </c>
      <c r="M53" s="26">
        <f t="shared" si="9"/>
        <v>3</v>
      </c>
      <c r="N53" s="26">
        <f t="shared" si="9"/>
        <v>3</v>
      </c>
      <c r="O53" s="26">
        <f t="shared" si="9"/>
        <v>0</v>
      </c>
      <c r="P53" s="26">
        <f t="shared" si="9"/>
        <v>0</v>
      </c>
      <c r="Q53" s="26">
        <f t="shared" si="9"/>
        <v>4</v>
      </c>
      <c r="R53" s="26">
        <f t="shared" si="9"/>
        <v>0</v>
      </c>
      <c r="S53" s="26">
        <f t="shared" si="9"/>
        <v>4</v>
      </c>
      <c r="T53" s="27">
        <f t="shared" si="9"/>
        <v>9</v>
      </c>
      <c r="V53" s="14" t="str">
        <f>'Chaves 1a.Fase'!C11</f>
        <v>SERGIO</v>
      </c>
      <c r="W53" s="14">
        <f>COUNT(CEARÁ_JOGOS)</f>
        <v>3</v>
      </c>
      <c r="X53" s="14">
        <f>COUNTIF(Groupstage_Winners,'Chaves 1a.Fase'!C11)</f>
        <v>1</v>
      </c>
      <c r="Y53" s="14">
        <f>COUNTIF(Groupstage_Losers,'Chaves 1a.Fase'!C11)</f>
        <v>2</v>
      </c>
      <c r="Z53" s="14">
        <f>W53-(X53+Y53)</f>
        <v>0</v>
      </c>
      <c r="AA53" s="14">
        <f>SUM(CEARÁ_JOGOS)</f>
        <v>4</v>
      </c>
      <c r="AB53" s="14">
        <f>SUM(CEARÁ_ADV)</f>
        <v>4</v>
      </c>
      <c r="AC53" s="14">
        <f>AA53-AB53</f>
        <v>0</v>
      </c>
      <c r="AD53" s="14">
        <f>X53*Winpoints+Z53*Drawpoints</f>
        <v>3</v>
      </c>
      <c r="AE53" s="14" t="str">
        <f>IF($AD53&lt;=$AD52,$V53,$V52)</f>
        <v>MARCOS ANT.</v>
      </c>
      <c r="AF53" s="14">
        <f>VLOOKUP($AE53,$V50:$AD53,9,FALSE)</f>
        <v>1</v>
      </c>
      <c r="AG53" s="14" t="str">
        <f>IF(AF53&lt;=AF51,AE53,AE51)</f>
        <v>MARCOS ANT.</v>
      </c>
      <c r="AH53" s="14">
        <f>VLOOKUP($AG53,$V50:$AD53,9,FALSE)</f>
        <v>1</v>
      </c>
      <c r="AI53" s="14" t="str">
        <f>IF($AH53&lt;=$AH50,$AG53,$AG50)</f>
        <v>MARCOS ANT.</v>
      </c>
      <c r="AJ53" s="14">
        <f>VLOOKUP($AI53,$V50:$AD53,9,FALSE)</f>
        <v>1</v>
      </c>
      <c r="AK53" s="14">
        <f>VLOOKUP($AI53,$V50:$AD53,8,FALSE)</f>
        <v>-3</v>
      </c>
      <c r="AL53" s="14" t="str">
        <f>IF(AND($AJ52=$AJ53,$AK53&gt;$AK52),$AI52,$AI53)</f>
        <v>MARCOS ANT.</v>
      </c>
      <c r="AM53" s="14">
        <f>VLOOKUP($AL53,$V50:$AD53,9,FALSE)</f>
        <v>1</v>
      </c>
      <c r="AN53" s="14">
        <f>VLOOKUP($AL53,$V50:$AD53,8,FALSE)</f>
        <v>-3</v>
      </c>
      <c r="AO53" s="14" t="str">
        <f>IF(AND($AM51=$AM53,$AN53&gt;$AN51),$AL51,$AL53)</f>
        <v>MARCOS ANT.</v>
      </c>
      <c r="AP53" s="14">
        <f>VLOOKUP($AO53,$V50:$AD53,9,FALSE)</f>
        <v>1</v>
      </c>
      <c r="AQ53" s="14">
        <f>VLOOKUP($AO53,$V50:$AD53,8,FALSE)</f>
        <v>-3</v>
      </c>
      <c r="AR53" s="14" t="str">
        <f>IF(AND($AP50=$AP53,$AQ53&gt;$AQ50),$AO50,$AO53)</f>
        <v>MARCOS ANT.</v>
      </c>
      <c r="AS53" s="14">
        <f>VLOOKUP($AR53,$V50:$AD53,9,FALSE)</f>
        <v>1</v>
      </c>
      <c r="AT53" s="14">
        <f>VLOOKUP($AR53,$V50:$AD53,8,FALSE)</f>
        <v>-3</v>
      </c>
      <c r="AU53" s="14">
        <f>VLOOKUP($AR53,$V50:$AD53,6,FALSE)</f>
        <v>0</v>
      </c>
      <c r="AV53" s="14" t="str">
        <f>IF(AND($AS52=$AS53,$AT52=$AT53,$AU53&gt;$AU52),$AR52,$AR53)</f>
        <v>MARCOS ANT.</v>
      </c>
      <c r="AW53" s="14">
        <f>VLOOKUP($AV53,$V50:$AD53,9,FALSE)</f>
        <v>1</v>
      </c>
      <c r="AX53" s="14">
        <f>VLOOKUP($AV53,$V50:$AD53,8,FALSE)</f>
        <v>-3</v>
      </c>
      <c r="AY53" s="14">
        <f>VLOOKUP($AV53,$V50:$AD53,6,FALSE)</f>
        <v>0</v>
      </c>
      <c r="AZ53" s="14" t="str">
        <f>IF(AND($AW51=$AW53,$AX51=$AX53,$AY53&gt;$AY51),$AV51,$AV53)</f>
        <v>MARCOS ANT.</v>
      </c>
      <c r="BA53" s="14">
        <f>VLOOKUP($AZ53,$V50:$AD53,9,FALSE)</f>
        <v>1</v>
      </c>
      <c r="BB53" s="14">
        <f>VLOOKUP($AZ53,$V50:$AD53,8,FALSE)</f>
        <v>-3</v>
      </c>
      <c r="BC53" s="14">
        <f>VLOOKUP($AZ53,$V50:$AD53,6,FALSE)</f>
        <v>0</v>
      </c>
      <c r="BD53" s="14" t="str">
        <f>IF(AND($BA50=$BA53,$BB50=$BB53,$BC53&gt;$BC50),$AZ50,$AZ53)</f>
        <v>MARCOS ANT.</v>
      </c>
      <c r="BE53" s="14">
        <f>VLOOKUP($BD53,$V50:$AD53,9,FALSE)</f>
        <v>1</v>
      </c>
      <c r="BF53" s="14">
        <f>VLOOKUP($BD53,$V50:$AD53,8,FALSE)</f>
        <v>-3</v>
      </c>
      <c r="BG53" s="14">
        <f>VLOOKUP($BD53,$V50:$AD53,6,FALSE)</f>
        <v>0</v>
      </c>
      <c r="BK53" s="14" t="str">
        <f>BD53</f>
        <v>MARCOS ANT.</v>
      </c>
      <c r="BL53" s="14">
        <f>VLOOKUP($BK53,$V50:$AD53,2,FALSE)</f>
        <v>3</v>
      </c>
      <c r="BM53" s="14">
        <f>VLOOKUP($BK53,$V50:$AD53,3,FALSE)</f>
        <v>0</v>
      </c>
      <c r="BN53" s="14">
        <f>VLOOKUP($BK53,$V50:$AD53,4,FALSE)</f>
        <v>2</v>
      </c>
      <c r="BO53" s="14">
        <f>VLOOKUP($BK53,$V50:$AD53,5,FALSE)</f>
        <v>1</v>
      </c>
      <c r="BP53" s="14">
        <f>VLOOKUP($BK53,$V50:$AD53,6,FALSE)</f>
        <v>0</v>
      </c>
      <c r="BQ53" s="14">
        <f>VLOOKUP($BK53,$V50:$AD53,7,FALSE)</f>
        <v>3</v>
      </c>
      <c r="BR53" s="14">
        <f>VLOOKUP($BK53,$V50:$AD53,8,FALSE)</f>
        <v>-3</v>
      </c>
      <c r="BS53" s="14">
        <f>VLOOKUP($BK53,$V50:$AD53,9,FALSE)</f>
        <v>1</v>
      </c>
    </row>
    <row r="54" spans="1:20" ht="13.5" customHeight="1" thickBot="1">
      <c r="A54" s="26">
        <v>7</v>
      </c>
      <c r="B54" s="33">
        <v>14</v>
      </c>
      <c r="C54" s="34" t="str">
        <f>'Chaves 1a.Fase'!C11</f>
        <v>SERGIO</v>
      </c>
      <c r="D54" s="88">
        <v>1</v>
      </c>
      <c r="E54" s="87">
        <v>2</v>
      </c>
      <c r="F54" s="35" t="str">
        <f>'Chaves 1a.Fase'!C9</f>
        <v>SINVAL</v>
      </c>
      <c r="G54" s="36" t="str">
        <f>'Chaves 1a.Fase'!D21</f>
        <v>ALESSANDRO</v>
      </c>
      <c r="H54" s="26"/>
      <c r="I54" s="14" t="str">
        <f t="shared" si="1"/>
        <v>SINVAL</v>
      </c>
      <c r="J54" s="14" t="str">
        <f t="shared" si="2"/>
        <v>SERGIO</v>
      </c>
      <c r="L54" s="25" t="str">
        <f t="shared" si="9"/>
        <v>AZAMBUJA</v>
      </c>
      <c r="M54" s="26">
        <f t="shared" si="9"/>
        <v>3</v>
      </c>
      <c r="N54" s="26">
        <f t="shared" si="9"/>
        <v>1</v>
      </c>
      <c r="O54" s="26">
        <f t="shared" si="9"/>
        <v>2</v>
      </c>
      <c r="P54" s="26">
        <f t="shared" si="9"/>
        <v>0</v>
      </c>
      <c r="Q54" s="26">
        <f t="shared" si="9"/>
        <v>1</v>
      </c>
      <c r="R54" s="26">
        <f t="shared" si="9"/>
        <v>2</v>
      </c>
      <c r="S54" s="26">
        <f t="shared" si="9"/>
        <v>-1</v>
      </c>
      <c r="T54" s="27">
        <f t="shared" si="9"/>
        <v>3</v>
      </c>
    </row>
    <row r="55" spans="1:22" ht="13.5" customHeight="1" thickBot="1">
      <c r="A55" s="26">
        <v>8</v>
      </c>
      <c r="B55" s="33">
        <v>15</v>
      </c>
      <c r="C55" s="34" t="str">
        <f>'Chaves 1a.Fase'!D10</f>
        <v>ALEX</v>
      </c>
      <c r="D55" s="88">
        <v>1</v>
      </c>
      <c r="E55" s="87">
        <v>0</v>
      </c>
      <c r="F55" s="35" t="str">
        <f>'Chaves 1a.Fase'!D8</f>
        <v>ITALO</v>
      </c>
      <c r="G55" s="36" t="str">
        <f>'Chaves 1a.Fase'!D22</f>
        <v>LEANDRINHO</v>
      </c>
      <c r="H55" s="26"/>
      <c r="I55" s="14" t="str">
        <f t="shared" si="1"/>
        <v>ALEX</v>
      </c>
      <c r="J55" s="14" t="str">
        <f t="shared" si="2"/>
        <v>ITALO</v>
      </c>
      <c r="L55" s="25" t="str">
        <f t="shared" si="9"/>
        <v>ITALO</v>
      </c>
      <c r="M55" s="26">
        <f t="shared" si="9"/>
        <v>3</v>
      </c>
      <c r="N55" s="26">
        <f t="shared" si="9"/>
        <v>1</v>
      </c>
      <c r="O55" s="26">
        <f t="shared" si="9"/>
        <v>2</v>
      </c>
      <c r="P55" s="26">
        <f t="shared" si="9"/>
        <v>0</v>
      </c>
      <c r="Q55" s="26">
        <f t="shared" si="9"/>
        <v>1</v>
      </c>
      <c r="R55" s="26">
        <f t="shared" si="9"/>
        <v>2</v>
      </c>
      <c r="S55" s="26">
        <f t="shared" si="9"/>
        <v>-1</v>
      </c>
      <c r="T55" s="27">
        <f t="shared" si="9"/>
        <v>3</v>
      </c>
      <c r="V55" s="14" t="s">
        <v>124</v>
      </c>
    </row>
    <row r="56" spans="1:30" ht="13.5" customHeight="1" thickBot="1">
      <c r="A56" s="26">
        <v>8</v>
      </c>
      <c r="B56" s="33">
        <v>16</v>
      </c>
      <c r="C56" s="34" t="str">
        <f>'Chaves 1a.Fase'!D11</f>
        <v>MALLET</v>
      </c>
      <c r="D56" s="88">
        <v>0</v>
      </c>
      <c r="E56" s="87">
        <v>1</v>
      </c>
      <c r="F56" s="35" t="str">
        <f>'Chaves 1a.Fase'!D9</f>
        <v>AZAMBUJA</v>
      </c>
      <c r="G56" s="36" t="str">
        <f>'Chaves 1a.Fase'!D23</f>
        <v>VICTOR</v>
      </c>
      <c r="H56" s="26"/>
      <c r="I56" s="14" t="str">
        <f t="shared" si="1"/>
        <v>AZAMBUJA</v>
      </c>
      <c r="J56" s="14" t="str">
        <f t="shared" si="2"/>
        <v>MALLET</v>
      </c>
      <c r="L56" s="37" t="str">
        <f t="shared" si="9"/>
        <v>MALLET</v>
      </c>
      <c r="M56" s="38">
        <f t="shared" si="9"/>
        <v>3</v>
      </c>
      <c r="N56" s="38">
        <f t="shared" si="9"/>
        <v>1</v>
      </c>
      <c r="O56" s="38">
        <f t="shared" si="9"/>
        <v>2</v>
      </c>
      <c r="P56" s="38">
        <f t="shared" si="9"/>
        <v>0</v>
      </c>
      <c r="Q56" s="38">
        <f t="shared" si="9"/>
        <v>1</v>
      </c>
      <c r="R56" s="38">
        <f t="shared" si="9"/>
        <v>3</v>
      </c>
      <c r="S56" s="38">
        <f t="shared" si="9"/>
        <v>-2</v>
      </c>
      <c r="T56" s="39">
        <f t="shared" si="9"/>
        <v>3</v>
      </c>
      <c r="W56" s="14" t="s">
        <v>107</v>
      </c>
      <c r="X56" s="14" t="s">
        <v>108</v>
      </c>
      <c r="Y56" s="14" t="s">
        <v>109</v>
      </c>
      <c r="Z56" s="14" t="s">
        <v>85</v>
      </c>
      <c r="AA56" s="14" t="s">
        <v>110</v>
      </c>
      <c r="AB56" s="14" t="s">
        <v>111</v>
      </c>
      <c r="AC56" s="14" t="s">
        <v>112</v>
      </c>
      <c r="AD56" s="14" t="s">
        <v>113</v>
      </c>
    </row>
    <row r="57" spans="1:71" ht="15.75" customHeight="1">
      <c r="A57" s="74" t="s">
        <v>125</v>
      </c>
      <c r="B57" s="74"/>
      <c r="C57" s="74"/>
      <c r="D57" s="74"/>
      <c r="E57" s="74"/>
      <c r="F57" s="74"/>
      <c r="G57" s="74"/>
      <c r="H57" s="74"/>
      <c r="V57" s="14" t="str">
        <f>'Chaves 1a.Fase'!D8</f>
        <v>ITALO</v>
      </c>
      <c r="W57" s="14">
        <f>COUNT(PARÁ_JOGOS)</f>
        <v>3</v>
      </c>
      <c r="X57" s="14">
        <f>COUNTIF(Groupstage_Winners,'Chaves 1a.Fase'!D8)</f>
        <v>1</v>
      </c>
      <c r="Y57" s="14">
        <f>COUNTIF(Groupstage_Losers,'Chaves 1a.Fase'!D8)</f>
        <v>2</v>
      </c>
      <c r="Z57" s="14">
        <f>W57-(X57+Y57)</f>
        <v>0</v>
      </c>
      <c r="AA57" s="14">
        <f>SUM(PARÁ_JOGOS)</f>
        <v>1</v>
      </c>
      <c r="AB57" s="14">
        <f>SUM(PARÁ_ADV)</f>
        <v>2</v>
      </c>
      <c r="AC57" s="14">
        <f>AA57-AB57</f>
        <v>-1</v>
      </c>
      <c r="AD57" s="14">
        <f>X57*Winpoints+Z57*Drawpoints</f>
        <v>3</v>
      </c>
      <c r="AE57" s="14" t="str">
        <f>IF($AD57&gt;=$AD58,$V57,$V58)</f>
        <v>ITALO</v>
      </c>
      <c r="AF57" s="14">
        <f>VLOOKUP($AE57,$V57:$AD60,9,FALSE)</f>
        <v>3</v>
      </c>
      <c r="AG57" s="14" t="str">
        <f>IF($AF57&gt;=$AF59,$AE57,$AE59)</f>
        <v>ALEX</v>
      </c>
      <c r="AH57" s="14">
        <f>VLOOKUP($AG57,$V57:$AD60,9,FALSE)</f>
        <v>9</v>
      </c>
      <c r="AI57" s="14" t="str">
        <f>IF($AH57&gt;=$AH60,$AG57,$AG60)</f>
        <v>ALEX</v>
      </c>
      <c r="AJ57" s="14">
        <f>VLOOKUP($AI57,$V57:$AD60,9,FALSE)</f>
        <v>9</v>
      </c>
      <c r="AK57" s="14">
        <f>VLOOKUP($AI57,$V57:$AD60,8,FALSE)</f>
        <v>4</v>
      </c>
      <c r="AL57" s="14" t="str">
        <f>IF(AND($AJ57=$AJ58,$AK58&gt;$AK57),$AI58,$AI57)</f>
        <v>ALEX</v>
      </c>
      <c r="AM57" s="14">
        <f>VLOOKUP($AL57,$V57:$AD60,9,FALSE)</f>
        <v>9</v>
      </c>
      <c r="AN57" s="14">
        <f>VLOOKUP($AL57,$V57:$AD60,8,FALSE)</f>
        <v>4</v>
      </c>
      <c r="AO57" s="14" t="str">
        <f>IF(AND($AM57=$AM59,$AN59&gt;$AN57),$AL59,$AL57)</f>
        <v>ALEX</v>
      </c>
      <c r="AP57" s="14">
        <f>VLOOKUP($AO57,$V57:$AD60,9,FALSE)</f>
        <v>9</v>
      </c>
      <c r="AQ57" s="14">
        <f>VLOOKUP($AO57,$V57:$AD60,8,FALSE)</f>
        <v>4</v>
      </c>
      <c r="AR57" s="14" t="str">
        <f>IF(AND($AP57=$AP60,$AQ60&gt;$AQ57),$AO60,$AO57)</f>
        <v>ALEX</v>
      </c>
      <c r="AS57" s="14">
        <f>VLOOKUP($AR57,$V57:$AD60,9,FALSE)</f>
        <v>9</v>
      </c>
      <c r="AT57" s="14">
        <f>VLOOKUP($AR57,$V57:$AD60,8,FALSE)</f>
        <v>4</v>
      </c>
      <c r="AU57" s="14">
        <f>VLOOKUP($AR57,$V57:$AD60,6,FALSE)</f>
        <v>4</v>
      </c>
      <c r="AV57" s="14" t="str">
        <f>IF(AND($AS57=$AS58,$AT57=$AT58,$AU58&gt;$AU57),$AR58,$AR57)</f>
        <v>ALEX</v>
      </c>
      <c r="AW57" s="14">
        <f>VLOOKUP($AV57,$V57:$AD60,9,FALSE)</f>
        <v>9</v>
      </c>
      <c r="AX57" s="14">
        <f>VLOOKUP($AV57,$V57:$AD60,8,FALSE)</f>
        <v>4</v>
      </c>
      <c r="AY57" s="14">
        <f>VLOOKUP($AV57,$V57:$AD60,6,FALSE)</f>
        <v>4</v>
      </c>
      <c r="AZ57" s="14" t="str">
        <f>IF(AND($AW57=$AW59,$AX57=$AX59,$AY59&gt;$AY57),$AV59,$AV57)</f>
        <v>ALEX</v>
      </c>
      <c r="BA57" s="14">
        <f>VLOOKUP($AZ57,$V57:$AD60,9,FALSE)</f>
        <v>9</v>
      </c>
      <c r="BB57" s="14">
        <f>VLOOKUP($AZ57,$V57:$AD60,8,FALSE)</f>
        <v>4</v>
      </c>
      <c r="BC57" s="14">
        <f>VLOOKUP($AZ57,$V57:$AD60,6,FALSE)</f>
        <v>4</v>
      </c>
      <c r="BD57" s="14" t="str">
        <f>IF(AND($BA57=$BA60,$BB57=$BB60,$BC60&gt;$BC57),$AZ60,$AZ57)</f>
        <v>ALEX</v>
      </c>
      <c r="BE57" s="14">
        <f>VLOOKUP($BD57,$V57:$AD60,9,FALSE)</f>
        <v>9</v>
      </c>
      <c r="BF57" s="14">
        <f>VLOOKUP($BD57,$V57:$AD60,8,FALSE)</f>
        <v>4</v>
      </c>
      <c r="BG57" s="14">
        <f>VLOOKUP($BD57,$V57:$AD60,6,FALSE)</f>
        <v>4</v>
      </c>
      <c r="BK57" s="14" t="str">
        <f>BD57</f>
        <v>ALEX</v>
      </c>
      <c r="BL57" s="14">
        <f>VLOOKUP($BK57,$V57:$AD60,2,FALSE)</f>
        <v>3</v>
      </c>
      <c r="BM57" s="14">
        <f>VLOOKUP($BK57,$V57:$AD60,3,FALSE)</f>
        <v>3</v>
      </c>
      <c r="BN57" s="14">
        <f>VLOOKUP($BK57,$V57:$AD60,4,FALSE)</f>
        <v>0</v>
      </c>
      <c r="BO57" s="14">
        <f>VLOOKUP($BK57,$V57:$AD60,5,FALSE)</f>
        <v>0</v>
      </c>
      <c r="BP57" s="14">
        <f>VLOOKUP($BK57,$V57:$AD60,6,FALSE)</f>
        <v>4</v>
      </c>
      <c r="BQ57" s="14">
        <f>VLOOKUP($BK57,$V57:$AD60,7,FALSE)</f>
        <v>0</v>
      </c>
      <c r="BR57" s="14">
        <f>VLOOKUP($BK57,$V57:$AD60,8,FALSE)</f>
        <v>4</v>
      </c>
      <c r="BS57" s="14">
        <f>VLOOKUP($BK57,$V57:$AD60,9,FALSE)</f>
        <v>9</v>
      </c>
    </row>
    <row r="58" spans="1:71" ht="13.5" customHeight="1" thickBot="1">
      <c r="A58" s="26">
        <v>9</v>
      </c>
      <c r="B58" s="33">
        <v>1</v>
      </c>
      <c r="C58" s="34" t="str">
        <f>'Chaves 1a.Fase'!A16</f>
        <v>JONI</v>
      </c>
      <c r="D58" s="90">
        <v>0</v>
      </c>
      <c r="E58" s="91">
        <v>0</v>
      </c>
      <c r="F58" s="35" t="str">
        <f>'Chaves 1a.Fase'!A14</f>
        <v>JULINHO</v>
      </c>
      <c r="G58" s="36" t="str">
        <f>'Chaves 1a.Fase'!A8</f>
        <v>MARCOS JUNQ.</v>
      </c>
      <c r="H58" s="26"/>
      <c r="I58" s="14" t="str">
        <f t="shared" si="1"/>
        <v>Draw</v>
      </c>
      <c r="J58" s="14" t="str">
        <f t="shared" si="2"/>
        <v>Draw</v>
      </c>
      <c r="L58" s="19" t="s">
        <v>40</v>
      </c>
      <c r="M58" s="20"/>
      <c r="N58" s="20"/>
      <c r="O58" s="20"/>
      <c r="P58" s="20"/>
      <c r="Q58" s="20"/>
      <c r="R58" s="20"/>
      <c r="S58" s="20"/>
      <c r="T58" s="21"/>
      <c r="V58" s="14" t="str">
        <f>'Chaves 1a.Fase'!D9</f>
        <v>AZAMBUJA</v>
      </c>
      <c r="W58" s="14">
        <f>COUNT(BRASILIA_JOGOS)</f>
        <v>3</v>
      </c>
      <c r="X58" s="14">
        <f>COUNTIF(Groupstage_Winners,'Chaves 1a.Fase'!D9)</f>
        <v>1</v>
      </c>
      <c r="Y58" s="14">
        <f>COUNTIF(Groupstage_Losers,'Chaves 1a.Fase'!D9)</f>
        <v>2</v>
      </c>
      <c r="Z58" s="14">
        <f>W58-(X58+Y58)</f>
        <v>0</v>
      </c>
      <c r="AA58" s="14">
        <f>SUM(BRASILIA_JOGOS)</f>
        <v>1</v>
      </c>
      <c r="AB58" s="14">
        <f>SUM(BRASILIA_ADV)</f>
        <v>2</v>
      </c>
      <c r="AC58" s="14">
        <f>AA58-AB58</f>
        <v>-1</v>
      </c>
      <c r="AD58" s="14">
        <f>X58*Winpoints+Z58*Drawpoints</f>
        <v>3</v>
      </c>
      <c r="AE58" s="14" t="str">
        <f>IF($AD58&lt;=$AD57,$V58,$V57)</f>
        <v>AZAMBUJA</v>
      </c>
      <c r="AF58" s="14">
        <f>VLOOKUP($AE58,$V57:$AD60,9,FALSE)</f>
        <v>3</v>
      </c>
      <c r="AG58" s="14" t="str">
        <f>IF(AF58&gt;=AF60,AE58,AE60)</f>
        <v>AZAMBUJA</v>
      </c>
      <c r="AH58" s="14">
        <f>VLOOKUP($AG58,$V57:$AD60,9,FALSE)</f>
        <v>3</v>
      </c>
      <c r="AI58" s="14" t="str">
        <f>IF($AH58&gt;=$AH59,$AG58,$AG59)</f>
        <v>AZAMBUJA</v>
      </c>
      <c r="AJ58" s="14">
        <f>VLOOKUP($AI58,$V57:$AD60,9,FALSE)</f>
        <v>3</v>
      </c>
      <c r="AK58" s="14">
        <f>VLOOKUP($AI58,$V57:$AD60,8,FALSE)</f>
        <v>-1</v>
      </c>
      <c r="AL58" s="14" t="str">
        <f>IF(AND($AJ57=$AJ58,$AK58&gt;$AK57),$AI57,$AI58)</f>
        <v>AZAMBUJA</v>
      </c>
      <c r="AM58" s="14">
        <f>VLOOKUP($AL58,$V57:$AD60,9,FALSE)</f>
        <v>3</v>
      </c>
      <c r="AN58" s="14">
        <f>VLOOKUP($AL58,$V57:$AD60,8,FALSE)</f>
        <v>-1</v>
      </c>
      <c r="AO58" s="14" t="str">
        <f>IF(AND($AM58=$AM60,$AN60&gt;$AN58),$AL60,$AL58)</f>
        <v>AZAMBUJA</v>
      </c>
      <c r="AP58" s="14">
        <f>VLOOKUP($AO58,$V57:$AD60,9,FALSE)</f>
        <v>3</v>
      </c>
      <c r="AQ58" s="14">
        <f>VLOOKUP($AO58,$V57:$AD60,8,FALSE)</f>
        <v>-1</v>
      </c>
      <c r="AR58" s="14" t="str">
        <f>IF(AND($AP58=$AP59,$AQ59&gt;$AQ58),$AO59,$AO58)</f>
        <v>AZAMBUJA</v>
      </c>
      <c r="AS58" s="14">
        <f>VLOOKUP($AR58,$V57:$AD60,9,FALSE)</f>
        <v>3</v>
      </c>
      <c r="AT58" s="14">
        <f>VLOOKUP($AR58,$V57:$AD60,8,FALSE)</f>
        <v>-1</v>
      </c>
      <c r="AU58" s="14">
        <f>VLOOKUP($AR58,$V57:$AD60,6,FALSE)</f>
        <v>1</v>
      </c>
      <c r="AV58" s="14" t="str">
        <f>IF(AND($AS57=$AS58,$AT57=$AT58,$AU58&gt;$AU57),$AR57,$AR58)</f>
        <v>AZAMBUJA</v>
      </c>
      <c r="AW58" s="14">
        <f>VLOOKUP($AV58,$V57:$AD60,9,FALSE)</f>
        <v>3</v>
      </c>
      <c r="AX58" s="14">
        <f>VLOOKUP($AV58,$V57:$AD60,8,FALSE)</f>
        <v>-1</v>
      </c>
      <c r="AY58" s="14">
        <f>VLOOKUP($AV58,$V57:$AD60,6,FALSE)</f>
        <v>1</v>
      </c>
      <c r="AZ58" s="14" t="str">
        <f>IF(AND($AW58=$AW60,$AX58=$AX60,$AY60&gt;$AY58),$AV60,$AV58)</f>
        <v>AZAMBUJA</v>
      </c>
      <c r="BA58" s="14">
        <f>VLOOKUP($AZ58,$V57:$AD60,9,FALSE)</f>
        <v>3</v>
      </c>
      <c r="BB58" s="14">
        <f>VLOOKUP($AZ58,$V57:$AD60,8,FALSE)</f>
        <v>-1</v>
      </c>
      <c r="BC58" s="14">
        <f>VLOOKUP($AZ58,$V57:$AD60,6,FALSE)</f>
        <v>1</v>
      </c>
      <c r="BD58" s="14" t="str">
        <f>IF(AND($BA58=$BA59,$BB58=$BB59,$BC59&gt;$BC58),$AZ59,$AZ58)</f>
        <v>AZAMBUJA</v>
      </c>
      <c r="BE58" s="14">
        <f>VLOOKUP($BD58,$V57:$AD60,9,FALSE)</f>
        <v>3</v>
      </c>
      <c r="BF58" s="14">
        <f>VLOOKUP($BD58,$V57:$AD60,8,FALSE)</f>
        <v>-1</v>
      </c>
      <c r="BG58" s="14">
        <f>VLOOKUP($BD58,$V57:$AD60,6,FALSE)</f>
        <v>1</v>
      </c>
      <c r="BK58" s="14" t="str">
        <f>BD58</f>
        <v>AZAMBUJA</v>
      </c>
      <c r="BL58" s="14">
        <f>VLOOKUP($BK58,$V57:$AD60,2,FALSE)</f>
        <v>3</v>
      </c>
      <c r="BM58" s="14">
        <f>VLOOKUP($BK58,$V57:$AD60,3,FALSE)</f>
        <v>1</v>
      </c>
      <c r="BN58" s="14">
        <f>VLOOKUP($BK58,$V57:$AD60,4,FALSE)</f>
        <v>2</v>
      </c>
      <c r="BO58" s="14">
        <f>VLOOKUP($BK58,$V57:$AD60,5,FALSE)</f>
        <v>0</v>
      </c>
      <c r="BP58" s="14">
        <f>VLOOKUP($BK58,$V57:$AD60,6,FALSE)</f>
        <v>1</v>
      </c>
      <c r="BQ58" s="14">
        <f>VLOOKUP($BK58,$V57:$AD60,7,FALSE)</f>
        <v>2</v>
      </c>
      <c r="BR58" s="14">
        <f>VLOOKUP($BK58,$V57:$AD60,8,FALSE)</f>
        <v>-1</v>
      </c>
      <c r="BS58" s="14">
        <f>VLOOKUP($BK58,$V57:$AD60,9,FALSE)</f>
        <v>3</v>
      </c>
    </row>
    <row r="59" spans="1:71" ht="13.5" customHeight="1" thickBot="1">
      <c r="A59" s="26">
        <v>9</v>
      </c>
      <c r="B59" s="33">
        <v>2</v>
      </c>
      <c r="C59" s="34" t="str">
        <f>'Chaves 1a.Fase'!A17</f>
        <v>OCHOINHA</v>
      </c>
      <c r="D59" s="88">
        <v>2</v>
      </c>
      <c r="E59" s="87">
        <v>1</v>
      </c>
      <c r="F59" s="35" t="str">
        <f>'Chaves 1a.Fase'!A15</f>
        <v>DANI</v>
      </c>
      <c r="G59" s="36" t="str">
        <f>'Chaves 1a.Fase'!A9</f>
        <v>MICHEL</v>
      </c>
      <c r="H59" s="26"/>
      <c r="I59" s="14" t="str">
        <f t="shared" si="1"/>
        <v>OCHOINHA</v>
      </c>
      <c r="J59" s="14" t="str">
        <f t="shared" si="2"/>
        <v>DANI</v>
      </c>
      <c r="L59" s="22"/>
      <c r="M59" s="23" t="s">
        <v>83</v>
      </c>
      <c r="N59" s="23" t="s">
        <v>84</v>
      </c>
      <c r="O59" s="23" t="s">
        <v>85</v>
      </c>
      <c r="P59" s="23" t="s">
        <v>86</v>
      </c>
      <c r="Q59" s="23" t="s">
        <v>87</v>
      </c>
      <c r="R59" s="23" t="s">
        <v>88</v>
      </c>
      <c r="S59" s="23" t="s">
        <v>89</v>
      </c>
      <c r="T59" s="24" t="s">
        <v>90</v>
      </c>
      <c r="V59" s="14" t="str">
        <f>'Chaves 1a.Fase'!D10</f>
        <v>ALEX</v>
      </c>
      <c r="W59" s="14">
        <f>COUNT(MARANHÃO_JOGOS)</f>
        <v>3</v>
      </c>
      <c r="X59" s="14">
        <f>COUNTIF(Groupstage_Winners,'Chaves 1a.Fase'!D10)</f>
        <v>3</v>
      </c>
      <c r="Y59" s="14">
        <f>COUNTIF(Groupstage_Losers,'Chaves 1a.Fase'!D10)</f>
        <v>0</v>
      </c>
      <c r="Z59" s="14">
        <f>W59-(X59+Y59)</f>
        <v>0</v>
      </c>
      <c r="AA59" s="14">
        <f>SUM(MARANHÃO_JOGOS)</f>
        <v>4</v>
      </c>
      <c r="AB59" s="14">
        <f>SUM(MARANHÃO_ADV)</f>
        <v>0</v>
      </c>
      <c r="AC59" s="14">
        <f>AA59-AB59</f>
        <v>4</v>
      </c>
      <c r="AD59" s="14">
        <f>X59*Winpoints+Z59*Drawpoints</f>
        <v>9</v>
      </c>
      <c r="AE59" s="14" t="str">
        <f>IF($AD59&gt;=$AD60,$V59,$V60)</f>
        <v>ALEX</v>
      </c>
      <c r="AF59" s="14">
        <f>VLOOKUP($AE59,$V57:$AD60,9,FALSE)</f>
        <v>9</v>
      </c>
      <c r="AG59" s="14" t="str">
        <f>IF($AF59&lt;=$AF57,$AE59,$AE57)</f>
        <v>ITALO</v>
      </c>
      <c r="AH59" s="14">
        <f>VLOOKUP($AG59,$V57:$AD60,9,FALSE)</f>
        <v>3</v>
      </c>
      <c r="AI59" s="14" t="str">
        <f>IF($AH59&lt;=$AH58,$AG59,$AG58)</f>
        <v>ITALO</v>
      </c>
      <c r="AJ59" s="14">
        <f>VLOOKUP($AI59,$V57:$AD60,9,FALSE)</f>
        <v>3</v>
      </c>
      <c r="AK59" s="14">
        <f>VLOOKUP($AI59,$V57:$AD60,8,FALSE)</f>
        <v>-1</v>
      </c>
      <c r="AL59" s="14" t="str">
        <f>IF(AND($AJ59=$AJ60,$AK60&gt;$AK59),$AI60,$AI59)</f>
        <v>ITALO</v>
      </c>
      <c r="AM59" s="14">
        <f>VLOOKUP($AL59,$V57:$AD60,9,FALSE)</f>
        <v>3</v>
      </c>
      <c r="AN59" s="14">
        <f>VLOOKUP($AL59,$V57:$AD60,8,FALSE)</f>
        <v>-1</v>
      </c>
      <c r="AO59" s="14" t="str">
        <f>IF(AND($AM57=$AM59,$AN59&gt;$AN57),$AL57,$AL59)</f>
        <v>ITALO</v>
      </c>
      <c r="AP59" s="14">
        <f>VLOOKUP($AO59,$V57:$AD60,9,FALSE)</f>
        <v>3</v>
      </c>
      <c r="AQ59" s="14">
        <f>VLOOKUP($AO59,$V57:$AD60,8,FALSE)</f>
        <v>-1</v>
      </c>
      <c r="AR59" s="14" t="str">
        <f>IF(AND($AP58=$AP59,$AQ59&gt;$AQ58),$AO58,$AO59)</f>
        <v>ITALO</v>
      </c>
      <c r="AS59" s="14">
        <f>VLOOKUP($AR59,$V57:$AD60,9,FALSE)</f>
        <v>3</v>
      </c>
      <c r="AT59" s="14">
        <f>VLOOKUP($AR59,$V57:$AD60,8,FALSE)</f>
        <v>-1</v>
      </c>
      <c r="AU59" s="14">
        <f>VLOOKUP($AR59,$V57:$AD60,6,FALSE)</f>
        <v>1</v>
      </c>
      <c r="AV59" s="14" t="str">
        <f>IF(AND($AS59=$AS60,$AT59=$AT60,$AU60&gt;$AU59),$AR60,$AR59)</f>
        <v>ITALO</v>
      </c>
      <c r="AW59" s="14">
        <f>VLOOKUP($AV59,$V57:$AD60,9,FALSE)</f>
        <v>3</v>
      </c>
      <c r="AX59" s="14">
        <f>VLOOKUP($AV59,$V57:$AD60,8,FALSE)</f>
        <v>-1</v>
      </c>
      <c r="AY59" s="14">
        <f>VLOOKUP($AV59,$V57:$AD60,6,FALSE)</f>
        <v>1</v>
      </c>
      <c r="AZ59" s="14" t="str">
        <f>IF(AND($AW57=$AW59,$AX57=$AX59,$AY59&gt;$AY57),$AV57,$AV59)</f>
        <v>ITALO</v>
      </c>
      <c r="BA59" s="14">
        <f>VLOOKUP($AZ59,$V57:$AD60,9,FALSE)</f>
        <v>3</v>
      </c>
      <c r="BB59" s="14">
        <f>VLOOKUP($AZ59,$V57:$AD60,8,FALSE)</f>
        <v>-1</v>
      </c>
      <c r="BC59" s="14">
        <f>VLOOKUP($AZ59,$V57:$AD60,6,FALSE)</f>
        <v>1</v>
      </c>
      <c r="BD59" s="14" t="str">
        <f>IF(AND($BA58=$BA59,$BB58=$BB59,$BC59&gt;$BC58),$AZ58,$AZ59)</f>
        <v>ITALO</v>
      </c>
      <c r="BE59" s="14">
        <f>VLOOKUP($BD59,$V57:$AD60,9,FALSE)</f>
        <v>3</v>
      </c>
      <c r="BF59" s="14">
        <f>VLOOKUP($BD59,$V57:$AD60,8,FALSE)</f>
        <v>-1</v>
      </c>
      <c r="BG59" s="14">
        <f>VLOOKUP($BD59,$V57:$AD60,6,FALSE)</f>
        <v>1</v>
      </c>
      <c r="BK59" s="14" t="str">
        <f>BD59</f>
        <v>ITALO</v>
      </c>
      <c r="BL59" s="14">
        <f>VLOOKUP($BK59,$V57:$AD60,2,FALSE)</f>
        <v>3</v>
      </c>
      <c r="BM59" s="14">
        <f>VLOOKUP($BK59,$V57:$AD60,3,FALSE)</f>
        <v>1</v>
      </c>
      <c r="BN59" s="14">
        <f>VLOOKUP($BK59,$V57:$AD60,4,FALSE)</f>
        <v>2</v>
      </c>
      <c r="BO59" s="14">
        <f>VLOOKUP($BK59,$V57:$AD60,5,FALSE)</f>
        <v>0</v>
      </c>
      <c r="BP59" s="14">
        <f>VLOOKUP($BK59,$V57:$AD60,6,FALSE)</f>
        <v>1</v>
      </c>
      <c r="BQ59" s="14">
        <f>VLOOKUP($BK59,$V57:$AD60,7,FALSE)</f>
        <v>2</v>
      </c>
      <c r="BR59" s="14">
        <f>VLOOKUP($BK59,$V57:$AD60,8,FALSE)</f>
        <v>-1</v>
      </c>
      <c r="BS59" s="14">
        <f>VLOOKUP($BK59,$V57:$AD60,9,FALSE)</f>
        <v>3</v>
      </c>
    </row>
    <row r="60" spans="1:71" ht="13.5" customHeight="1" thickBot="1">
      <c r="A60" s="40">
        <v>10</v>
      </c>
      <c r="B60" s="41">
        <v>3</v>
      </c>
      <c r="C60" s="42" t="str">
        <f>'Chaves 1a.Fase'!B16</f>
        <v>FELIPE</v>
      </c>
      <c r="D60" s="89">
        <v>5</v>
      </c>
      <c r="E60" s="89">
        <v>0</v>
      </c>
      <c r="F60" s="43" t="str">
        <f>'Chaves 1a.Fase'!B14</f>
        <v>KEVIN</v>
      </c>
      <c r="G60" s="43" t="str">
        <f>'Chaves 1a.Fase'!A10</f>
        <v>DIOGO MALLET</v>
      </c>
      <c r="H60" s="40"/>
      <c r="I60" s="14" t="str">
        <f t="shared" si="1"/>
        <v>FELIPE</v>
      </c>
      <c r="J60" s="14" t="str">
        <f t="shared" si="2"/>
        <v>KEVIN</v>
      </c>
      <c r="L60" s="25" t="str">
        <f aca="true" t="shared" si="10" ref="L60:T63">BK64</f>
        <v>JONI</v>
      </c>
      <c r="M60" s="26">
        <f t="shared" si="10"/>
        <v>3</v>
      </c>
      <c r="N60" s="26">
        <f t="shared" si="10"/>
        <v>2</v>
      </c>
      <c r="O60" s="26">
        <f t="shared" si="10"/>
        <v>0</v>
      </c>
      <c r="P60" s="26">
        <f t="shared" si="10"/>
        <v>1</v>
      </c>
      <c r="Q60" s="26">
        <f t="shared" si="10"/>
        <v>3</v>
      </c>
      <c r="R60" s="26">
        <f t="shared" si="10"/>
        <v>0</v>
      </c>
      <c r="S60" s="26">
        <f t="shared" si="10"/>
        <v>3</v>
      </c>
      <c r="T60" s="27">
        <f t="shared" si="10"/>
        <v>7</v>
      </c>
      <c r="V60" s="14" t="str">
        <f>'Chaves 1a.Fase'!D11</f>
        <v>MALLET</v>
      </c>
      <c r="W60" s="14">
        <f>COUNT(CATARINA_JOGOS)</f>
        <v>3</v>
      </c>
      <c r="X60" s="14">
        <f>COUNTIF(Groupstage_Winners,'Chaves 1a.Fase'!D11)</f>
        <v>1</v>
      </c>
      <c r="Y60" s="14">
        <f>COUNTIF(Groupstage_Losers,'Chaves 1a.Fase'!D11)</f>
        <v>2</v>
      </c>
      <c r="Z60" s="14">
        <f>W60-(X60+Y60)</f>
        <v>0</v>
      </c>
      <c r="AA60" s="14">
        <f>SUM(CATARINA_JOGOS)</f>
        <v>1</v>
      </c>
      <c r="AB60" s="14">
        <f>SUM(CATARINA_ADV)</f>
        <v>3</v>
      </c>
      <c r="AC60" s="14">
        <f>AA60-AB60</f>
        <v>-2</v>
      </c>
      <c r="AD60" s="14">
        <f>X60*Winpoints+Z60*Drawpoints</f>
        <v>3</v>
      </c>
      <c r="AE60" s="14" t="str">
        <f>IF($AD60&lt;=$AD59,$V60,$V59)</f>
        <v>MALLET</v>
      </c>
      <c r="AF60" s="14">
        <f>VLOOKUP($AE60,$V57:$AD60,9,FALSE)</f>
        <v>3</v>
      </c>
      <c r="AG60" s="14" t="str">
        <f>IF(AF60&lt;=AF58,AE60,AE58)</f>
        <v>MALLET</v>
      </c>
      <c r="AH60" s="14">
        <f>VLOOKUP($AG60,$V57:$AD60,9,FALSE)</f>
        <v>3</v>
      </c>
      <c r="AI60" s="14" t="str">
        <f>IF($AH60&lt;=$AH57,$AG60,$AG57)</f>
        <v>MALLET</v>
      </c>
      <c r="AJ60" s="14">
        <f>VLOOKUP($AI60,$V57:$AD60,9,FALSE)</f>
        <v>3</v>
      </c>
      <c r="AK60" s="14">
        <f>VLOOKUP($AI60,$V57:$AD60,8,FALSE)</f>
        <v>-2</v>
      </c>
      <c r="AL60" s="14" t="str">
        <f>IF(AND($AJ59=$AJ60,$AK60&gt;$AK59),$AI59,$AI60)</f>
        <v>MALLET</v>
      </c>
      <c r="AM60" s="14">
        <f>VLOOKUP($AL60,$V57:$AD60,9,FALSE)</f>
        <v>3</v>
      </c>
      <c r="AN60" s="14">
        <f>VLOOKUP($AL60,$V57:$AD60,8,FALSE)</f>
        <v>-2</v>
      </c>
      <c r="AO60" s="14" t="str">
        <f>IF(AND($AM58=$AM60,$AN60&gt;$AN58),$AL58,$AL60)</f>
        <v>MALLET</v>
      </c>
      <c r="AP60" s="14">
        <f>VLOOKUP($AO60,$V57:$AD60,9,FALSE)</f>
        <v>3</v>
      </c>
      <c r="AQ60" s="14">
        <f>VLOOKUP($AO60,$V57:$AD60,8,FALSE)</f>
        <v>-2</v>
      </c>
      <c r="AR60" s="14" t="str">
        <f>IF(AND($AP57=$AP60,$AQ60&gt;$AQ57),$AO57,$AO60)</f>
        <v>MALLET</v>
      </c>
      <c r="AS60" s="14">
        <f>VLOOKUP($AR60,$V57:$AD60,9,FALSE)</f>
        <v>3</v>
      </c>
      <c r="AT60" s="14">
        <f>VLOOKUP($AR60,$V57:$AD60,8,FALSE)</f>
        <v>-2</v>
      </c>
      <c r="AU60" s="14">
        <f>VLOOKUP($AR60,$V57:$AD60,6,FALSE)</f>
        <v>1</v>
      </c>
      <c r="AV60" s="14" t="str">
        <f>IF(AND($AS59=$AS60,$AT59=$AT60,$AU60&gt;$AU59),$AR59,$AR60)</f>
        <v>MALLET</v>
      </c>
      <c r="AW60" s="14">
        <f>VLOOKUP($AV60,$V57:$AD60,9,FALSE)</f>
        <v>3</v>
      </c>
      <c r="AX60" s="14">
        <f>VLOOKUP($AV60,$V57:$AD60,8,FALSE)</f>
        <v>-2</v>
      </c>
      <c r="AY60" s="14">
        <f>VLOOKUP($AV60,$V57:$AD60,6,FALSE)</f>
        <v>1</v>
      </c>
      <c r="AZ60" s="14" t="str">
        <f>IF(AND($AW58=$AW60,$AX58=$AX60,$AY60&gt;$AY58),$AV58,$AV60)</f>
        <v>MALLET</v>
      </c>
      <c r="BA60" s="14">
        <f>VLOOKUP($AZ60,$V57:$AD60,9,FALSE)</f>
        <v>3</v>
      </c>
      <c r="BB60" s="14">
        <f>VLOOKUP($AZ60,$V57:$AD60,8,FALSE)</f>
        <v>-2</v>
      </c>
      <c r="BC60" s="14">
        <f>VLOOKUP($AZ60,$V57:$AD60,6,FALSE)</f>
        <v>1</v>
      </c>
      <c r="BD60" s="14" t="str">
        <f>IF(AND($BA57=$BA60,$BB57=$BB60,$BC60&gt;$BC57),$AZ57,$AZ60)</f>
        <v>MALLET</v>
      </c>
      <c r="BE60" s="14">
        <f>VLOOKUP($BD60,$V57:$AD60,9,FALSE)</f>
        <v>3</v>
      </c>
      <c r="BF60" s="14">
        <f>VLOOKUP($BD60,$V57:$AD60,8,FALSE)</f>
        <v>-2</v>
      </c>
      <c r="BG60" s="14">
        <f>VLOOKUP($BD60,$V57:$AD60,6,FALSE)</f>
        <v>1</v>
      </c>
      <c r="BK60" s="14" t="str">
        <f>BD60</f>
        <v>MALLET</v>
      </c>
      <c r="BL60" s="14">
        <f>VLOOKUP($BK60,$V57:$AD60,2,FALSE)</f>
        <v>3</v>
      </c>
      <c r="BM60" s="14">
        <f>VLOOKUP($BK60,$V57:$AD60,3,FALSE)</f>
        <v>1</v>
      </c>
      <c r="BN60" s="14">
        <f>VLOOKUP($BK60,$V57:$AD60,4,FALSE)</f>
        <v>2</v>
      </c>
      <c r="BO60" s="14">
        <f>VLOOKUP($BK60,$V57:$AD60,5,FALSE)</f>
        <v>0</v>
      </c>
      <c r="BP60" s="14">
        <f>VLOOKUP($BK60,$V57:$AD60,6,FALSE)</f>
        <v>1</v>
      </c>
      <c r="BQ60" s="14">
        <f>VLOOKUP($BK60,$V57:$AD60,7,FALSE)</f>
        <v>3</v>
      </c>
      <c r="BR60" s="14">
        <f>VLOOKUP($BK60,$V57:$AD60,8,FALSE)</f>
        <v>-2</v>
      </c>
      <c r="BS60" s="14">
        <f>VLOOKUP($BK60,$V57:$AD60,9,FALSE)</f>
        <v>3</v>
      </c>
    </row>
    <row r="61" spans="1:20" ht="13.5" customHeight="1" thickBot="1">
      <c r="A61" s="26">
        <v>10</v>
      </c>
      <c r="B61" s="33">
        <v>4</v>
      </c>
      <c r="C61" s="34" t="str">
        <f>'Chaves 1a.Fase'!B17</f>
        <v>OSMAR</v>
      </c>
      <c r="D61" s="88">
        <v>0</v>
      </c>
      <c r="E61" s="87">
        <v>0</v>
      </c>
      <c r="F61" s="35" t="str">
        <f>'Chaves 1a.Fase'!B15</f>
        <v>RENAN</v>
      </c>
      <c r="G61" s="36" t="str">
        <f>'Chaves 1a.Fase'!A11</f>
        <v>UMBERTO</v>
      </c>
      <c r="H61" s="26"/>
      <c r="I61" s="14" t="str">
        <f t="shared" si="1"/>
        <v>Draw</v>
      </c>
      <c r="J61" s="14" t="str">
        <f t="shared" si="2"/>
        <v>Draw</v>
      </c>
      <c r="L61" s="25" t="str">
        <f t="shared" si="10"/>
        <v>JULINHO</v>
      </c>
      <c r="M61" s="26">
        <f t="shared" si="10"/>
        <v>3</v>
      </c>
      <c r="N61" s="26">
        <f t="shared" si="10"/>
        <v>1</v>
      </c>
      <c r="O61" s="26">
        <f t="shared" si="10"/>
        <v>0</v>
      </c>
      <c r="P61" s="26">
        <f t="shared" si="10"/>
        <v>2</v>
      </c>
      <c r="Q61" s="26">
        <f t="shared" si="10"/>
        <v>2</v>
      </c>
      <c r="R61" s="26">
        <f t="shared" si="10"/>
        <v>1</v>
      </c>
      <c r="S61" s="26">
        <f t="shared" si="10"/>
        <v>1</v>
      </c>
      <c r="T61" s="27">
        <f t="shared" si="10"/>
        <v>5</v>
      </c>
    </row>
    <row r="62" spans="1:22" ht="13.5" customHeight="1" thickBot="1">
      <c r="A62" s="26">
        <v>11</v>
      </c>
      <c r="B62" s="33">
        <v>5</v>
      </c>
      <c r="C62" s="34" t="str">
        <f>'Chaves 1a.Fase'!C16</f>
        <v>PUFAL</v>
      </c>
      <c r="D62" s="88">
        <v>0</v>
      </c>
      <c r="E62" s="87">
        <v>2</v>
      </c>
      <c r="F62" s="35" t="str">
        <f>'Chaves 1a.Fase'!C14</f>
        <v>JOÃO GARIMA</v>
      </c>
      <c r="G62" s="36" t="str">
        <f>'Chaves 1a.Fase'!B8</f>
        <v>FERNANDO</v>
      </c>
      <c r="H62" s="26"/>
      <c r="I62" s="14" t="str">
        <f t="shared" si="1"/>
        <v>JOÃO GARIMA</v>
      </c>
      <c r="J62" s="14" t="str">
        <f t="shared" si="2"/>
        <v>PUFAL</v>
      </c>
      <c r="L62" s="25" t="str">
        <f t="shared" si="10"/>
        <v>OCHOINHA</v>
      </c>
      <c r="M62" s="26">
        <f t="shared" si="10"/>
        <v>3</v>
      </c>
      <c r="N62" s="26">
        <f t="shared" si="10"/>
        <v>1</v>
      </c>
      <c r="O62" s="26">
        <f t="shared" si="10"/>
        <v>1</v>
      </c>
      <c r="P62" s="26">
        <f t="shared" si="10"/>
        <v>1</v>
      </c>
      <c r="Q62" s="26">
        <f t="shared" si="10"/>
        <v>3</v>
      </c>
      <c r="R62" s="26">
        <f t="shared" si="10"/>
        <v>4</v>
      </c>
      <c r="S62" s="26">
        <f t="shared" si="10"/>
        <v>-1</v>
      </c>
      <c r="T62" s="27">
        <f t="shared" si="10"/>
        <v>4</v>
      </c>
      <c r="V62" s="14" t="s">
        <v>126</v>
      </c>
    </row>
    <row r="63" spans="1:71" ht="13.5" customHeight="1" thickBot="1">
      <c r="A63" s="26">
        <v>11</v>
      </c>
      <c r="B63" s="33">
        <v>6</v>
      </c>
      <c r="C63" s="34" t="str">
        <f>'Chaves 1a.Fase'!C17</f>
        <v>ROGÉRIO FEIJÓ</v>
      </c>
      <c r="D63" s="88">
        <v>0</v>
      </c>
      <c r="E63" s="87">
        <v>0</v>
      </c>
      <c r="F63" s="35" t="str">
        <f>'Chaves 1a.Fase'!C15</f>
        <v>EVERTON</v>
      </c>
      <c r="G63" s="36" t="str">
        <f>'Chaves 1a.Fase'!B9</f>
        <v>AUGUSTO</v>
      </c>
      <c r="H63" s="26"/>
      <c r="I63" s="14" t="str">
        <f t="shared" si="1"/>
        <v>Draw</v>
      </c>
      <c r="J63" s="14" t="str">
        <f t="shared" si="2"/>
        <v>Draw</v>
      </c>
      <c r="L63" s="37" t="str">
        <f t="shared" si="10"/>
        <v>DANI</v>
      </c>
      <c r="M63" s="38">
        <f t="shared" si="10"/>
        <v>3</v>
      </c>
      <c r="N63" s="38">
        <f t="shared" si="10"/>
        <v>0</v>
      </c>
      <c r="O63" s="38">
        <f t="shared" si="10"/>
        <v>3</v>
      </c>
      <c r="P63" s="38">
        <f t="shared" si="10"/>
        <v>0</v>
      </c>
      <c r="Q63" s="38">
        <f t="shared" si="10"/>
        <v>1</v>
      </c>
      <c r="R63" s="38">
        <f t="shared" si="10"/>
        <v>4</v>
      </c>
      <c r="S63" s="38">
        <f t="shared" si="10"/>
        <v>-3</v>
      </c>
      <c r="T63" s="39">
        <f t="shared" si="10"/>
        <v>0</v>
      </c>
      <c r="W63" s="14" t="s">
        <v>107</v>
      </c>
      <c r="X63" s="14" t="s">
        <v>108</v>
      </c>
      <c r="Y63" s="14" t="s">
        <v>109</v>
      </c>
      <c r="Z63" s="14" t="s">
        <v>85</v>
      </c>
      <c r="AA63" s="14" t="s">
        <v>110</v>
      </c>
      <c r="AB63" s="14" t="s">
        <v>111</v>
      </c>
      <c r="AC63" s="14" t="s">
        <v>112</v>
      </c>
      <c r="AD63" s="14" t="s">
        <v>113</v>
      </c>
      <c r="AE63" s="14" t="s">
        <v>114</v>
      </c>
      <c r="AF63" s="14" t="s">
        <v>113</v>
      </c>
      <c r="AG63" s="14" t="s">
        <v>114</v>
      </c>
      <c r="AH63" s="14" t="s">
        <v>113</v>
      </c>
      <c r="AI63" s="14" t="s">
        <v>114</v>
      </c>
      <c r="AJ63" s="14" t="s">
        <v>113</v>
      </c>
      <c r="AK63" s="14" t="s">
        <v>112</v>
      </c>
      <c r="AL63" s="14" t="s">
        <v>114</v>
      </c>
      <c r="AM63" s="14" t="s">
        <v>113</v>
      </c>
      <c r="AN63" s="14" t="s">
        <v>112</v>
      </c>
      <c r="AO63" s="14" t="s">
        <v>114</v>
      </c>
      <c r="AP63" s="14" t="s">
        <v>113</v>
      </c>
      <c r="AQ63" s="14" t="s">
        <v>112</v>
      </c>
      <c r="AR63" s="14" t="s">
        <v>114</v>
      </c>
      <c r="AS63" s="14" t="s">
        <v>113</v>
      </c>
      <c r="AT63" s="14" t="s">
        <v>112</v>
      </c>
      <c r="AU63" s="14" t="s">
        <v>110</v>
      </c>
      <c r="AV63" s="14" t="s">
        <v>114</v>
      </c>
      <c r="AW63" s="14" t="s">
        <v>113</v>
      </c>
      <c r="AX63" s="14" t="s">
        <v>112</v>
      </c>
      <c r="AY63" s="14" t="s">
        <v>110</v>
      </c>
      <c r="AZ63" s="14" t="s">
        <v>114</v>
      </c>
      <c r="BA63" s="14" t="s">
        <v>113</v>
      </c>
      <c r="BB63" s="14" t="s">
        <v>112</v>
      </c>
      <c r="BC63" s="14" t="s">
        <v>110</v>
      </c>
      <c r="BD63" s="14" t="s">
        <v>114</v>
      </c>
      <c r="BE63" s="14" t="s">
        <v>113</v>
      </c>
      <c r="BF63" s="14" t="s">
        <v>112</v>
      </c>
      <c r="BG63" s="14" t="s">
        <v>110</v>
      </c>
      <c r="BL63" s="14" t="s">
        <v>115</v>
      </c>
      <c r="BM63" s="14" t="s">
        <v>108</v>
      </c>
      <c r="BN63" s="14" t="s">
        <v>109</v>
      </c>
      <c r="BO63" s="14" t="s">
        <v>85</v>
      </c>
      <c r="BP63" s="14" t="s">
        <v>110</v>
      </c>
      <c r="BQ63" s="14" t="s">
        <v>111</v>
      </c>
      <c r="BR63" s="14" t="s">
        <v>112</v>
      </c>
      <c r="BS63" s="14" t="s">
        <v>113</v>
      </c>
    </row>
    <row r="64" spans="1:71" ht="13.5" customHeight="1" thickBot="1">
      <c r="A64" s="26">
        <v>12</v>
      </c>
      <c r="B64" s="33">
        <v>7</v>
      </c>
      <c r="C64" s="34" t="str">
        <f>'Chaves 1a.Fase'!D16</f>
        <v>LEANDRO</v>
      </c>
      <c r="D64" s="88">
        <v>0</v>
      </c>
      <c r="E64" s="87">
        <v>0</v>
      </c>
      <c r="F64" s="35" t="str">
        <f>'Chaves 1a.Fase'!D14</f>
        <v>CRISTIANO</v>
      </c>
      <c r="G64" s="36" t="str">
        <f>'Chaves 1a.Fase'!B10</f>
        <v>SILVIO</v>
      </c>
      <c r="H64" s="26"/>
      <c r="I64" s="14" t="str">
        <f t="shared" si="1"/>
        <v>Draw</v>
      </c>
      <c r="J64" s="14" t="str">
        <f t="shared" si="2"/>
        <v>Draw</v>
      </c>
      <c r="V64" s="14" t="str">
        <f>'Chaves 1a.Fase'!A14</f>
        <v>JULINHO</v>
      </c>
      <c r="W64" s="14">
        <f>COUNT(GREMIO_JOGOS)</f>
        <v>3</v>
      </c>
      <c r="X64" s="14">
        <f>COUNTIF(Groupstage_Winners,'Chaves 1a.Fase'!A14)</f>
        <v>1</v>
      </c>
      <c r="Y64" s="14">
        <f>COUNTIF(Groupstage_Losers,'Chaves 1a.Fase'!A14)</f>
        <v>0</v>
      </c>
      <c r="Z64" s="14">
        <f>W64-(X64+Y64)</f>
        <v>2</v>
      </c>
      <c r="AA64" s="14">
        <f>SUM(GREMIO_JOGOS)</f>
        <v>2</v>
      </c>
      <c r="AB64" s="14">
        <f>SUM(GREMIO_ADV)</f>
        <v>1</v>
      </c>
      <c r="AC64" s="14">
        <f>AA64-AB64</f>
        <v>1</v>
      </c>
      <c r="AD64" s="14">
        <f>X64*Winpoints+Z64*Drawpoints</f>
        <v>5</v>
      </c>
      <c r="AE64" s="14" t="str">
        <f>IF($AD64&gt;=$AD65,$V64,$V65)</f>
        <v>JULINHO</v>
      </c>
      <c r="AF64" s="14">
        <f>VLOOKUP($AE64,$V64:$AD67,9,FALSE)</f>
        <v>5</v>
      </c>
      <c r="AG64" s="14" t="str">
        <f>IF($AF64&gt;=$AF66,$AE64,$AE66)</f>
        <v>JONI</v>
      </c>
      <c r="AH64" s="14">
        <f>VLOOKUP($AG64,$V64:$AD67,9,FALSE)</f>
        <v>7</v>
      </c>
      <c r="AI64" s="14" t="str">
        <f>IF($AH64&gt;=$AH67,$AG64,$AG67)</f>
        <v>JONI</v>
      </c>
      <c r="AJ64" s="14">
        <f>VLOOKUP($AI64,$V64:$AD67,9,FALSE)</f>
        <v>7</v>
      </c>
      <c r="AK64" s="14">
        <f>VLOOKUP($AI64,$V64:$AD67,8,FALSE)</f>
        <v>3</v>
      </c>
      <c r="AL64" s="14" t="str">
        <f>IF(AND($AJ64=$AJ65,$AK65&gt;$AK64),$AI65,$AI64)</f>
        <v>JONI</v>
      </c>
      <c r="AM64" s="14">
        <f>VLOOKUP($AL64,$V64:$AD67,9,FALSE)</f>
        <v>7</v>
      </c>
      <c r="AN64" s="14">
        <f>VLOOKUP($AL64,$V64:$AD67,8,FALSE)</f>
        <v>3</v>
      </c>
      <c r="AO64" s="14" t="str">
        <f>IF(AND($AM64=$AM66,$AN66&gt;$AN64),$AL66,$AL64)</f>
        <v>JONI</v>
      </c>
      <c r="AP64" s="14">
        <f>VLOOKUP($AO64,$V64:$AD67,9,FALSE)</f>
        <v>7</v>
      </c>
      <c r="AQ64" s="14">
        <f>VLOOKUP($AO64,$V64:$AD67,8,FALSE)</f>
        <v>3</v>
      </c>
      <c r="AR64" s="14" t="str">
        <f>IF(AND($AP64=$AP67,$AQ67&gt;$AQ64),$AO67,$AO64)</f>
        <v>JONI</v>
      </c>
      <c r="AS64" s="14">
        <f>VLOOKUP($AR64,$V64:$AD67,9,FALSE)</f>
        <v>7</v>
      </c>
      <c r="AT64" s="14">
        <f>VLOOKUP($AR64,$V64:$AD67,8,FALSE)</f>
        <v>3</v>
      </c>
      <c r="AU64" s="14">
        <f>VLOOKUP($AR64,$V64:$AD67,6,FALSE)</f>
        <v>3</v>
      </c>
      <c r="AV64" s="14" t="str">
        <f>IF(AND($AS64=$AS65,$AT64=$AT65,$AU65&gt;$AU64),$AR65,$AR64)</f>
        <v>JONI</v>
      </c>
      <c r="AW64" s="14">
        <f>VLOOKUP($AV64,$V64:$AD67,9,FALSE)</f>
        <v>7</v>
      </c>
      <c r="AX64" s="14">
        <f>VLOOKUP($AV64,$V64:$AD67,8,FALSE)</f>
        <v>3</v>
      </c>
      <c r="AY64" s="14">
        <f>VLOOKUP($AV64,$V64:$AD67,6,FALSE)</f>
        <v>3</v>
      </c>
      <c r="AZ64" s="14" t="str">
        <f>IF(AND($AW64=$AW66,$AX64=$AX66,$AY66&gt;$AY64),$AV66,$AV64)</f>
        <v>JONI</v>
      </c>
      <c r="BA64" s="14">
        <f>VLOOKUP($AZ64,$V64:$AD67,9,FALSE)</f>
        <v>7</v>
      </c>
      <c r="BB64" s="14">
        <f>VLOOKUP($AZ64,$V64:$AD67,8,FALSE)</f>
        <v>3</v>
      </c>
      <c r="BC64" s="14">
        <f>VLOOKUP($AZ64,$V64:$AD67,6,FALSE)</f>
        <v>3</v>
      </c>
      <c r="BD64" s="14" t="str">
        <f>IF(AND($BA64=$BA67,$BB64=$BB67,$BC67&gt;$BC64),$AZ67,$AZ64)</f>
        <v>JONI</v>
      </c>
      <c r="BE64" s="14">
        <f>VLOOKUP($BD64,$V64:$AD67,9,FALSE)</f>
        <v>7</v>
      </c>
      <c r="BF64" s="14">
        <f>VLOOKUP($BD64,$V64:$AD67,8,FALSE)</f>
        <v>3</v>
      </c>
      <c r="BG64" s="14">
        <f>VLOOKUP($BD64,$V64:$AD67,6,FALSE)</f>
        <v>3</v>
      </c>
      <c r="BK64" s="14" t="str">
        <f>BD64</f>
        <v>JONI</v>
      </c>
      <c r="BL64" s="14">
        <f>VLOOKUP($BK64,$V64:$AD67,2,FALSE)</f>
        <v>3</v>
      </c>
      <c r="BM64" s="14">
        <f>VLOOKUP($BK64,$V64:$AD67,3,FALSE)</f>
        <v>2</v>
      </c>
      <c r="BN64" s="14">
        <f>VLOOKUP($BK64,$V64:$AD67,4,FALSE)</f>
        <v>0</v>
      </c>
      <c r="BO64" s="14">
        <f>VLOOKUP($BK64,$V64:$AD67,5,FALSE)</f>
        <v>1</v>
      </c>
      <c r="BP64" s="14">
        <f>VLOOKUP($BK64,$V64:$AD67,6,FALSE)</f>
        <v>3</v>
      </c>
      <c r="BQ64" s="14">
        <f>VLOOKUP($BK64,$V64:$AD67,7,FALSE)</f>
        <v>0</v>
      </c>
      <c r="BR64" s="14">
        <f>VLOOKUP($BK64,$V64:$AD67,8,FALSE)</f>
        <v>3</v>
      </c>
      <c r="BS64" s="14">
        <f>VLOOKUP($BK64,$V64:$AD67,9,FALSE)</f>
        <v>7</v>
      </c>
    </row>
    <row r="65" spans="1:71" ht="13.5" customHeight="1" thickBot="1">
      <c r="A65" s="26">
        <v>12</v>
      </c>
      <c r="B65" s="33">
        <v>8</v>
      </c>
      <c r="C65" s="34" t="str">
        <f>'Chaves 1a.Fase'!D17</f>
        <v>DUDA</v>
      </c>
      <c r="D65" s="88">
        <v>0</v>
      </c>
      <c r="E65" s="87">
        <v>0</v>
      </c>
      <c r="F65" s="35" t="str">
        <f>'Chaves 1a.Fase'!D15</f>
        <v>VINHAS</v>
      </c>
      <c r="G65" s="36" t="str">
        <f>'Chaves 1a.Fase'!B11</f>
        <v>NILMAR</v>
      </c>
      <c r="H65" s="26"/>
      <c r="I65" s="14" t="str">
        <f t="shared" si="1"/>
        <v>Draw</v>
      </c>
      <c r="J65" s="14" t="str">
        <f t="shared" si="2"/>
        <v>Draw</v>
      </c>
      <c r="L65" s="19" t="s">
        <v>41</v>
      </c>
      <c r="M65" s="20"/>
      <c r="N65" s="20"/>
      <c r="O65" s="20"/>
      <c r="P65" s="20"/>
      <c r="Q65" s="20"/>
      <c r="R65" s="20"/>
      <c r="S65" s="20"/>
      <c r="T65" s="21"/>
      <c r="V65" s="14" t="str">
        <f>'Chaves 1a.Fase'!A15</f>
        <v>DANI</v>
      </c>
      <c r="W65" s="14">
        <f>COUNT(ESPORTIVO_JOGOS)</f>
        <v>3</v>
      </c>
      <c r="X65" s="14">
        <f>COUNTIF(Groupstage_Winners,'Chaves 1a.Fase'!A15)</f>
        <v>0</v>
      </c>
      <c r="Y65" s="14">
        <f>COUNTIF(Groupstage_Losers,'Chaves 1a.Fase'!A15)</f>
        <v>3</v>
      </c>
      <c r="Z65" s="14">
        <f>W65-(X65+Y65)</f>
        <v>0</v>
      </c>
      <c r="AA65" s="14">
        <f>SUM(ESPORTIVO_JOGOS)</f>
        <v>1</v>
      </c>
      <c r="AB65" s="14">
        <f>SUM(ESPORTIVO_ADV)</f>
        <v>4</v>
      </c>
      <c r="AC65" s="14">
        <f>AA65-AB65</f>
        <v>-3</v>
      </c>
      <c r="AD65" s="14">
        <f>X65*Winpoints+Z65*Drawpoints</f>
        <v>0</v>
      </c>
      <c r="AE65" s="14" t="str">
        <f>IF($AD65&lt;=$AD64,$V65,$V64)</f>
        <v>DANI</v>
      </c>
      <c r="AF65" s="14">
        <f>VLOOKUP($AE65,$V64:$AD67,9,FALSE)</f>
        <v>0</v>
      </c>
      <c r="AG65" s="14" t="str">
        <f>IF(AF65&gt;=AF67,AE65,AE67)</f>
        <v>OCHOINHA</v>
      </c>
      <c r="AH65" s="14">
        <f>VLOOKUP($AG65,$V64:$AD67,9,FALSE)</f>
        <v>4</v>
      </c>
      <c r="AI65" s="14" t="str">
        <f>IF($AH65&gt;=$AH66,$AG65,$AG66)</f>
        <v>JULINHO</v>
      </c>
      <c r="AJ65" s="14">
        <f>VLOOKUP($AI65,$V64:$AD67,9,FALSE)</f>
        <v>5</v>
      </c>
      <c r="AK65" s="14">
        <f>VLOOKUP($AI65,$V64:$AD67,8,FALSE)</f>
        <v>1</v>
      </c>
      <c r="AL65" s="14" t="str">
        <f>IF(AND($AJ64=$AJ65,$AK65&gt;$AK64),$AI64,$AI65)</f>
        <v>JULINHO</v>
      </c>
      <c r="AM65" s="14">
        <f>VLOOKUP($AL65,$V64:$AD67,9,FALSE)</f>
        <v>5</v>
      </c>
      <c r="AN65" s="14">
        <f>VLOOKUP($AL65,$V64:$AD67,8,FALSE)</f>
        <v>1</v>
      </c>
      <c r="AO65" s="14" t="str">
        <f>IF(AND($AM65=$AM67,$AN67&gt;$AN65),$AL67,$AL65)</f>
        <v>JULINHO</v>
      </c>
      <c r="AP65" s="14">
        <f>VLOOKUP($AO65,$V64:$AD67,9,FALSE)</f>
        <v>5</v>
      </c>
      <c r="AQ65" s="14">
        <f>VLOOKUP($AO65,$V64:$AD67,8,FALSE)</f>
        <v>1</v>
      </c>
      <c r="AR65" s="14" t="str">
        <f>IF(AND($AP65=$AP66,$AQ66&gt;$AQ65),$AO66,$AO65)</f>
        <v>JULINHO</v>
      </c>
      <c r="AS65" s="14">
        <f>VLOOKUP($AR65,$V64:$AD67,9,FALSE)</f>
        <v>5</v>
      </c>
      <c r="AT65" s="14">
        <f>VLOOKUP($AR65,$V64:$AD67,8,FALSE)</f>
        <v>1</v>
      </c>
      <c r="AU65" s="14">
        <f>VLOOKUP($AR65,$V64:$AD67,6,FALSE)</f>
        <v>2</v>
      </c>
      <c r="AV65" s="14" t="str">
        <f>IF(AND($AS64=$AS65,$AT64=$AT65,$AU65&gt;$AU64),$AR64,$AR65)</f>
        <v>JULINHO</v>
      </c>
      <c r="AW65" s="14">
        <f>VLOOKUP($AV65,$V64:$AD67,9,FALSE)</f>
        <v>5</v>
      </c>
      <c r="AX65" s="14">
        <f>VLOOKUP($AV65,$V64:$AD67,8,FALSE)</f>
        <v>1</v>
      </c>
      <c r="AY65" s="14">
        <f>VLOOKUP($AV65,$V64:$AD67,6,FALSE)</f>
        <v>2</v>
      </c>
      <c r="AZ65" s="14" t="str">
        <f>IF(AND($AW65=$AW67,$AX65=$AX67,$AY67&gt;$AY65),$AV67,$AV65)</f>
        <v>JULINHO</v>
      </c>
      <c r="BA65" s="14">
        <f>VLOOKUP($AZ65,$V64:$AD67,9,FALSE)</f>
        <v>5</v>
      </c>
      <c r="BB65" s="14">
        <f>VLOOKUP($AZ65,$V64:$AD67,8,FALSE)</f>
        <v>1</v>
      </c>
      <c r="BC65" s="14">
        <f>VLOOKUP($AZ65,$V64:$AD67,6,FALSE)</f>
        <v>2</v>
      </c>
      <c r="BD65" s="14" t="str">
        <f>IF(AND($BA65=$BA66,$BB65=$BB66,$BC66&gt;$BC65),$AZ66,$AZ65)</f>
        <v>JULINHO</v>
      </c>
      <c r="BE65" s="14">
        <f>VLOOKUP($BD65,$V64:$AD67,9,FALSE)</f>
        <v>5</v>
      </c>
      <c r="BF65" s="14">
        <f>VLOOKUP($BD65,$V64:$AD67,8,FALSE)</f>
        <v>1</v>
      </c>
      <c r="BG65" s="14">
        <f>VLOOKUP($BD65,$V64:$AD67,6,FALSE)</f>
        <v>2</v>
      </c>
      <c r="BK65" s="14" t="str">
        <f>BD65</f>
        <v>JULINHO</v>
      </c>
      <c r="BL65" s="14">
        <f>VLOOKUP($BK65,$V64:$AD67,2,FALSE)</f>
        <v>3</v>
      </c>
      <c r="BM65" s="14">
        <f>VLOOKUP($BK65,$V64:$AD67,3,FALSE)</f>
        <v>1</v>
      </c>
      <c r="BN65" s="14">
        <f>VLOOKUP($BK65,$V64:$AD67,4,FALSE)</f>
        <v>0</v>
      </c>
      <c r="BO65" s="14">
        <f>VLOOKUP($BK65,$V64:$AD67,5,FALSE)</f>
        <v>2</v>
      </c>
      <c r="BP65" s="14">
        <f>VLOOKUP($BK65,$V64:$AD67,6,FALSE)</f>
        <v>2</v>
      </c>
      <c r="BQ65" s="14">
        <f>VLOOKUP($BK65,$V64:$AD67,7,FALSE)</f>
        <v>1</v>
      </c>
      <c r="BR65" s="14">
        <f>VLOOKUP($BK65,$V64:$AD67,8,FALSE)</f>
        <v>1</v>
      </c>
      <c r="BS65" s="14">
        <f>VLOOKUP($BK65,$V64:$AD67,9,FALSE)</f>
        <v>5</v>
      </c>
    </row>
    <row r="66" spans="1:71" ht="13.5" customHeight="1" thickBot="1">
      <c r="A66" s="26">
        <v>13</v>
      </c>
      <c r="B66" s="33">
        <v>9</v>
      </c>
      <c r="C66" s="34" t="str">
        <f>'Chaves 1a.Fase'!A22</f>
        <v>BRENO</v>
      </c>
      <c r="D66" s="88">
        <v>0</v>
      </c>
      <c r="E66" s="87">
        <v>0</v>
      </c>
      <c r="F66" s="35" t="str">
        <f>'Chaves 1a.Fase'!A20</f>
        <v>JORGITO</v>
      </c>
      <c r="G66" s="36" t="str">
        <f>'Chaves 1a.Fase'!C8</f>
        <v>MARQUINHO</v>
      </c>
      <c r="H66" s="26"/>
      <c r="I66" s="14" t="str">
        <f t="shared" si="1"/>
        <v>Draw</v>
      </c>
      <c r="J66" s="14" t="str">
        <f t="shared" si="2"/>
        <v>Draw</v>
      </c>
      <c r="L66" s="22"/>
      <c r="M66" s="23" t="s">
        <v>83</v>
      </c>
      <c r="N66" s="23" t="s">
        <v>84</v>
      </c>
      <c r="O66" s="23" t="s">
        <v>85</v>
      </c>
      <c r="P66" s="23" t="s">
        <v>86</v>
      </c>
      <c r="Q66" s="23" t="s">
        <v>87</v>
      </c>
      <c r="R66" s="23" t="s">
        <v>88</v>
      </c>
      <c r="S66" s="23" t="s">
        <v>89</v>
      </c>
      <c r="T66" s="24" t="s">
        <v>90</v>
      </c>
      <c r="V66" s="14" t="str">
        <f>'Chaves 1a.Fase'!A16</f>
        <v>JONI</v>
      </c>
      <c r="W66" s="14">
        <f>COUNT(LONDRINA_JOGOS)</f>
        <v>3</v>
      </c>
      <c r="X66" s="14">
        <f>COUNTIF(Groupstage_Winners,'Chaves 1a.Fase'!A16)</f>
        <v>2</v>
      </c>
      <c r="Y66" s="14">
        <f>COUNTIF(Groupstage_Losers,'Chaves 1a.Fase'!A16)</f>
        <v>0</v>
      </c>
      <c r="Z66" s="14">
        <f>W66-(X66+Y66)</f>
        <v>1</v>
      </c>
      <c r="AA66" s="14">
        <f>SUM(LONDRINA_JOGOS)</f>
        <v>3</v>
      </c>
      <c r="AB66" s="14">
        <f>SUM(LONDRINA_ADV)</f>
        <v>0</v>
      </c>
      <c r="AC66" s="14">
        <f>AA66-AB66</f>
        <v>3</v>
      </c>
      <c r="AD66" s="14">
        <f>X66*Winpoints+Z66*Drawpoints</f>
        <v>7</v>
      </c>
      <c r="AE66" s="14" t="str">
        <f>IF($AD66&gt;=$AD67,$V66,$V67)</f>
        <v>JONI</v>
      </c>
      <c r="AF66" s="14">
        <f>VLOOKUP($AE66,$V64:$AD67,9,FALSE)</f>
        <v>7</v>
      </c>
      <c r="AG66" s="14" t="str">
        <f>IF($AF66&lt;=$AF64,$AE66,$AE64)</f>
        <v>JULINHO</v>
      </c>
      <c r="AH66" s="14">
        <f>VLOOKUP($AG66,$V64:$AD67,9,FALSE)</f>
        <v>5</v>
      </c>
      <c r="AI66" s="14" t="str">
        <f>IF($AH66&lt;=$AH65,$AG66,$AG65)</f>
        <v>OCHOINHA</v>
      </c>
      <c r="AJ66" s="14">
        <f>VLOOKUP($AI66,$V64:$AD67,9,FALSE)</f>
        <v>4</v>
      </c>
      <c r="AK66" s="14">
        <f>VLOOKUP($AI66,$V64:$AD67,8,FALSE)</f>
        <v>-1</v>
      </c>
      <c r="AL66" s="14" t="str">
        <f>IF(AND($AJ66=$AJ67,$AK67&gt;$AK66),$AI67,$AI66)</f>
        <v>OCHOINHA</v>
      </c>
      <c r="AM66" s="14">
        <f>VLOOKUP($AL66,$V64:$AD67,9,FALSE)</f>
        <v>4</v>
      </c>
      <c r="AN66" s="14">
        <f>VLOOKUP($AL66,$V64:$AD67,8,FALSE)</f>
        <v>-1</v>
      </c>
      <c r="AO66" s="14" t="str">
        <f>IF(AND($AM64=$AM66,$AN66&gt;$AN64),$AL64,$AL66)</f>
        <v>OCHOINHA</v>
      </c>
      <c r="AP66" s="14">
        <f>VLOOKUP($AO66,$V64:$AD67,9,FALSE)</f>
        <v>4</v>
      </c>
      <c r="AQ66" s="14">
        <f>VLOOKUP($AO66,$V64:$AD67,8,FALSE)</f>
        <v>-1</v>
      </c>
      <c r="AR66" s="14" t="str">
        <f>IF(AND($AP65=$AP66,$AQ66&gt;$AQ65),$AO65,$AO66)</f>
        <v>OCHOINHA</v>
      </c>
      <c r="AS66" s="14">
        <f>VLOOKUP($AR66,$V64:$AD67,9,FALSE)</f>
        <v>4</v>
      </c>
      <c r="AT66" s="14">
        <f>VLOOKUP($AR66,$V64:$AD67,8,FALSE)</f>
        <v>-1</v>
      </c>
      <c r="AU66" s="14">
        <f>VLOOKUP($AR66,$V64:$AD67,6,FALSE)</f>
        <v>3</v>
      </c>
      <c r="AV66" s="14" t="str">
        <f>IF(AND($AS66=$AS67,$AT66=$AT67,$AU67&gt;$AU66),$AR67,$AR66)</f>
        <v>OCHOINHA</v>
      </c>
      <c r="AW66" s="14">
        <f>VLOOKUP($AV66,$V64:$AD67,9,FALSE)</f>
        <v>4</v>
      </c>
      <c r="AX66" s="14">
        <f>VLOOKUP($AV66,$V64:$AD67,8,FALSE)</f>
        <v>-1</v>
      </c>
      <c r="AY66" s="14">
        <f>VLOOKUP($AV66,$V64:$AD67,6,FALSE)</f>
        <v>3</v>
      </c>
      <c r="AZ66" s="14" t="str">
        <f>IF(AND($AW64=$AW66,$AX64=$AX66,$AY66&gt;$AY64),$AV64,$AV66)</f>
        <v>OCHOINHA</v>
      </c>
      <c r="BA66" s="14">
        <f>VLOOKUP($AZ66,$V64:$AD67,9,FALSE)</f>
        <v>4</v>
      </c>
      <c r="BB66" s="14">
        <f>VLOOKUP($AZ66,$V64:$AD67,8,FALSE)</f>
        <v>-1</v>
      </c>
      <c r="BC66" s="14">
        <f>VLOOKUP($AZ66,$V64:$AD67,6,FALSE)</f>
        <v>3</v>
      </c>
      <c r="BD66" s="14" t="str">
        <f>IF(AND($BA65=$BA66,$BB65=$BB66,$BC66&gt;$BC65),$AZ65,$AZ66)</f>
        <v>OCHOINHA</v>
      </c>
      <c r="BE66" s="14">
        <f>VLOOKUP($BD66,$V64:$AD67,9,FALSE)</f>
        <v>4</v>
      </c>
      <c r="BF66" s="14">
        <f>VLOOKUP($BD66,$V64:$AD67,8,FALSE)</f>
        <v>-1</v>
      </c>
      <c r="BG66" s="14">
        <f>VLOOKUP($BD66,$V64:$AD67,6,FALSE)</f>
        <v>3</v>
      </c>
      <c r="BK66" s="14" t="str">
        <f>BD66</f>
        <v>OCHOINHA</v>
      </c>
      <c r="BL66" s="14">
        <f>VLOOKUP($BK66,$V64:$AD67,2,FALSE)</f>
        <v>3</v>
      </c>
      <c r="BM66" s="14">
        <f>VLOOKUP($BK66,$V64:$AD67,3,FALSE)</f>
        <v>1</v>
      </c>
      <c r="BN66" s="14">
        <f>VLOOKUP($BK66,$V64:$AD67,4,FALSE)</f>
        <v>1</v>
      </c>
      <c r="BO66" s="14">
        <f>VLOOKUP($BK66,$V64:$AD67,5,FALSE)</f>
        <v>1</v>
      </c>
      <c r="BP66" s="14">
        <f>VLOOKUP($BK66,$V64:$AD67,6,FALSE)</f>
        <v>3</v>
      </c>
      <c r="BQ66" s="14">
        <f>VLOOKUP($BK66,$V64:$AD67,7,FALSE)</f>
        <v>4</v>
      </c>
      <c r="BR66" s="14">
        <f>VLOOKUP($BK66,$V64:$AD67,8,FALSE)</f>
        <v>-1</v>
      </c>
      <c r="BS66" s="14">
        <f>VLOOKUP($BK66,$V64:$AD67,9,FALSE)</f>
        <v>4</v>
      </c>
    </row>
    <row r="67" spans="1:71" ht="13.5" customHeight="1" thickBot="1">
      <c r="A67" s="40">
        <v>13</v>
      </c>
      <c r="B67" s="41">
        <v>10</v>
      </c>
      <c r="C67" s="42" t="str">
        <f>'Chaves 1a.Fase'!A23</f>
        <v>VINÍCIUS</v>
      </c>
      <c r="D67" s="89">
        <v>2</v>
      </c>
      <c r="E67" s="89">
        <v>0</v>
      </c>
      <c r="F67" s="43" t="str">
        <f>'Chaves 1a.Fase'!A21</f>
        <v>EDISON</v>
      </c>
      <c r="G67" s="43" t="str">
        <f>'Chaves 1a.Fase'!C9</f>
        <v>SINVAL</v>
      </c>
      <c r="H67" s="40"/>
      <c r="I67" s="14" t="str">
        <f t="shared" si="1"/>
        <v>VINÍCIUS</v>
      </c>
      <c r="J67" s="14" t="str">
        <f t="shared" si="2"/>
        <v>EDISON</v>
      </c>
      <c r="L67" s="25" t="str">
        <f aca="true" t="shared" si="11" ref="L67:T70">BK71</f>
        <v>FELIPE</v>
      </c>
      <c r="M67" s="26">
        <f t="shared" si="11"/>
        <v>3</v>
      </c>
      <c r="N67" s="26">
        <f t="shared" si="11"/>
        <v>1</v>
      </c>
      <c r="O67" s="26">
        <f t="shared" si="11"/>
        <v>0</v>
      </c>
      <c r="P67" s="26">
        <f t="shared" si="11"/>
        <v>2</v>
      </c>
      <c r="Q67" s="26">
        <f t="shared" si="11"/>
        <v>5</v>
      </c>
      <c r="R67" s="26">
        <f t="shared" si="11"/>
        <v>0</v>
      </c>
      <c r="S67" s="26">
        <f t="shared" si="11"/>
        <v>5</v>
      </c>
      <c r="T67" s="27">
        <f t="shared" si="11"/>
        <v>5</v>
      </c>
      <c r="V67" s="14" t="str">
        <f>'Chaves 1a.Fase'!A17</f>
        <v>OCHOINHA</v>
      </c>
      <c r="W67" s="14">
        <f>COUNT(PALMEIRAS_JOGOS)</f>
        <v>3</v>
      </c>
      <c r="X67" s="14">
        <f>COUNTIF(Groupstage_Winners,'Chaves 1a.Fase'!A17)</f>
        <v>1</v>
      </c>
      <c r="Y67" s="14">
        <f>COUNTIF(Groupstage_Losers,'Chaves 1a.Fase'!A17)</f>
        <v>1</v>
      </c>
      <c r="Z67" s="14">
        <f>W67-(X67+Y67)</f>
        <v>1</v>
      </c>
      <c r="AA67" s="14">
        <f>SUM(PALMEIRAS_JOGOS)</f>
        <v>3</v>
      </c>
      <c r="AB67" s="14">
        <f>SUM(PALMEIRAS_ADV)</f>
        <v>4</v>
      </c>
      <c r="AC67" s="14">
        <f>AA67-AB67</f>
        <v>-1</v>
      </c>
      <c r="AD67" s="14">
        <f>X67*Winpoints+Z67*Drawpoints</f>
        <v>4</v>
      </c>
      <c r="AE67" s="14" t="str">
        <f>IF($AD67&lt;=$AD66,$V67,$V66)</f>
        <v>OCHOINHA</v>
      </c>
      <c r="AF67" s="14">
        <f>VLOOKUP($AE67,$V64:$AD67,9,FALSE)</f>
        <v>4</v>
      </c>
      <c r="AG67" s="14" t="str">
        <f>IF(AF67&lt;=AF65,AE67,AE65)</f>
        <v>DANI</v>
      </c>
      <c r="AH67" s="14">
        <f>VLOOKUP($AG67,$V64:$AD67,9,FALSE)</f>
        <v>0</v>
      </c>
      <c r="AI67" s="14" t="str">
        <f>IF($AH67&lt;=$AH64,$AG67,$AG64)</f>
        <v>DANI</v>
      </c>
      <c r="AJ67" s="14">
        <f>VLOOKUP($AI67,$V64:$AD67,9,FALSE)</f>
        <v>0</v>
      </c>
      <c r="AK67" s="14">
        <f>VLOOKUP($AI67,$V64:$AD67,8,FALSE)</f>
        <v>-3</v>
      </c>
      <c r="AL67" s="14" t="str">
        <f>IF(AND($AJ66=$AJ67,$AK67&gt;$AK66),$AI66,$AI67)</f>
        <v>DANI</v>
      </c>
      <c r="AM67" s="14">
        <f>VLOOKUP($AL67,$V64:$AD67,9,FALSE)</f>
        <v>0</v>
      </c>
      <c r="AN67" s="14">
        <f>VLOOKUP($AL67,$V64:$AD67,8,FALSE)</f>
        <v>-3</v>
      </c>
      <c r="AO67" s="14" t="str">
        <f>IF(AND($AM65=$AM67,$AN67&gt;$AN65),$AL65,$AL67)</f>
        <v>DANI</v>
      </c>
      <c r="AP67" s="14">
        <f>VLOOKUP($AO67,$V64:$AD67,9,FALSE)</f>
        <v>0</v>
      </c>
      <c r="AQ67" s="14">
        <f>VLOOKUP($AO67,$V64:$AD67,8,FALSE)</f>
        <v>-3</v>
      </c>
      <c r="AR67" s="14" t="str">
        <f>IF(AND($AP64=$AP67,$AQ67&gt;$AQ64),$AO64,$AO67)</f>
        <v>DANI</v>
      </c>
      <c r="AS67" s="14">
        <f>VLOOKUP($AR67,$V64:$AD67,9,FALSE)</f>
        <v>0</v>
      </c>
      <c r="AT67" s="14">
        <f>VLOOKUP($AR67,$V64:$AD67,8,FALSE)</f>
        <v>-3</v>
      </c>
      <c r="AU67" s="14">
        <f>VLOOKUP($AR67,$V64:$AD67,6,FALSE)</f>
        <v>1</v>
      </c>
      <c r="AV67" s="14" t="str">
        <f>IF(AND($AS66=$AS67,$AT66=$AT67,$AU67&gt;$AU66),$AR66,$AR67)</f>
        <v>DANI</v>
      </c>
      <c r="AW67" s="14">
        <f>VLOOKUP($AV67,$V64:$AD67,9,FALSE)</f>
        <v>0</v>
      </c>
      <c r="AX67" s="14">
        <f>VLOOKUP($AV67,$V64:$AD67,8,FALSE)</f>
        <v>-3</v>
      </c>
      <c r="AY67" s="14">
        <f>VLOOKUP($AV67,$V64:$AD67,6,FALSE)</f>
        <v>1</v>
      </c>
      <c r="AZ67" s="14" t="str">
        <f>IF(AND($AW65=$AW67,$AX65=$AX67,$AY67&gt;$AY65),$AV65,$AV67)</f>
        <v>DANI</v>
      </c>
      <c r="BA67" s="14">
        <f>VLOOKUP($AZ67,$V64:$AD67,9,FALSE)</f>
        <v>0</v>
      </c>
      <c r="BB67" s="14">
        <f>VLOOKUP($AZ67,$V64:$AD67,8,FALSE)</f>
        <v>-3</v>
      </c>
      <c r="BC67" s="14">
        <f>VLOOKUP($AZ67,$V64:$AD67,6,FALSE)</f>
        <v>1</v>
      </c>
      <c r="BD67" s="14" t="str">
        <f>IF(AND($BA64=$BA67,$BB64=$BB67,$BC67&gt;$BC64),$AZ64,$AZ67)</f>
        <v>DANI</v>
      </c>
      <c r="BE67" s="14">
        <f>VLOOKUP($BD67,$V64:$AD67,9,FALSE)</f>
        <v>0</v>
      </c>
      <c r="BF67" s="14">
        <f>VLOOKUP($BD67,$V64:$AD67,8,FALSE)</f>
        <v>-3</v>
      </c>
      <c r="BG67" s="14">
        <f>VLOOKUP($BD67,$V64:$AD67,6,FALSE)</f>
        <v>1</v>
      </c>
      <c r="BK67" s="14" t="str">
        <f>BD67</f>
        <v>DANI</v>
      </c>
      <c r="BL67" s="14">
        <f>VLOOKUP($BK67,$V64:$AD67,2,FALSE)</f>
        <v>3</v>
      </c>
      <c r="BM67" s="14">
        <f>VLOOKUP($BK67,$V64:$AD67,3,FALSE)</f>
        <v>0</v>
      </c>
      <c r="BN67" s="14">
        <f>VLOOKUP($BK67,$V64:$AD67,4,FALSE)</f>
        <v>3</v>
      </c>
      <c r="BO67" s="14">
        <f>VLOOKUP($BK67,$V64:$AD67,5,FALSE)</f>
        <v>0</v>
      </c>
      <c r="BP67" s="14">
        <f>VLOOKUP($BK67,$V64:$AD67,6,FALSE)</f>
        <v>1</v>
      </c>
      <c r="BQ67" s="14">
        <f>VLOOKUP($BK67,$V64:$AD67,7,FALSE)</f>
        <v>4</v>
      </c>
      <c r="BR67" s="14">
        <f>VLOOKUP($BK67,$V64:$AD67,8,FALSE)</f>
        <v>-3</v>
      </c>
      <c r="BS67" s="14">
        <f>VLOOKUP($BK67,$V64:$AD67,9,FALSE)</f>
        <v>0</v>
      </c>
    </row>
    <row r="68" spans="1:20" ht="13.5" customHeight="1" thickBot="1">
      <c r="A68" s="26">
        <v>14</v>
      </c>
      <c r="B68" s="33">
        <v>11</v>
      </c>
      <c r="C68" s="34" t="str">
        <f>'Chaves 1a.Fase'!B22</f>
        <v>JOSÉ</v>
      </c>
      <c r="D68" s="88">
        <v>1</v>
      </c>
      <c r="E68" s="87">
        <v>1</v>
      </c>
      <c r="F68" s="35" t="str">
        <f>'Chaves 1a.Fase'!B20</f>
        <v>TERROZO</v>
      </c>
      <c r="G68" s="36" t="str">
        <f>'Chaves 1a.Fase'!C10</f>
        <v>MARCOS ANT.</v>
      </c>
      <c r="H68" s="26"/>
      <c r="I68" s="14" t="str">
        <f t="shared" si="1"/>
        <v>Draw</v>
      </c>
      <c r="J68" s="14" t="str">
        <f t="shared" si="2"/>
        <v>Draw</v>
      </c>
      <c r="L68" s="25" t="str">
        <f t="shared" si="11"/>
        <v>OSMAR</v>
      </c>
      <c r="M68" s="26">
        <f t="shared" si="11"/>
        <v>3</v>
      </c>
      <c r="N68" s="26">
        <f t="shared" si="11"/>
        <v>1</v>
      </c>
      <c r="O68" s="26">
        <f t="shared" si="11"/>
        <v>0</v>
      </c>
      <c r="P68" s="26">
        <f t="shared" si="11"/>
        <v>2</v>
      </c>
      <c r="Q68" s="26">
        <f t="shared" si="11"/>
        <v>3</v>
      </c>
      <c r="R68" s="26">
        <f t="shared" si="11"/>
        <v>1</v>
      </c>
      <c r="S68" s="26">
        <f t="shared" si="11"/>
        <v>2</v>
      </c>
      <c r="T68" s="27">
        <f t="shared" si="11"/>
        <v>5</v>
      </c>
    </row>
    <row r="69" spans="1:22" ht="13.5" customHeight="1" thickBot="1">
      <c r="A69" s="26">
        <v>14</v>
      </c>
      <c r="B69" s="33">
        <v>12</v>
      </c>
      <c r="C69" s="34" t="str">
        <f>'Chaves 1a.Fase'!B23</f>
        <v>SANDRO</v>
      </c>
      <c r="D69" s="88">
        <v>0</v>
      </c>
      <c r="E69" s="87">
        <v>2</v>
      </c>
      <c r="F69" s="35" t="str">
        <f>'Chaves 1a.Fase'!B21</f>
        <v>BRANDÃO</v>
      </c>
      <c r="G69" s="36" t="str">
        <f>'Chaves 1a.Fase'!C11</f>
        <v>SERGIO</v>
      </c>
      <c r="H69" s="26"/>
      <c r="I69" s="14" t="str">
        <f t="shared" si="1"/>
        <v>BRANDÃO</v>
      </c>
      <c r="J69" s="14" t="str">
        <f t="shared" si="2"/>
        <v>SANDRO</v>
      </c>
      <c r="L69" s="25" t="str">
        <f t="shared" si="11"/>
        <v>RENAN</v>
      </c>
      <c r="M69" s="26">
        <f t="shared" si="11"/>
        <v>3</v>
      </c>
      <c r="N69" s="26">
        <f t="shared" si="11"/>
        <v>0</v>
      </c>
      <c r="O69" s="26">
        <f t="shared" si="11"/>
        <v>0</v>
      </c>
      <c r="P69" s="26">
        <f t="shared" si="11"/>
        <v>3</v>
      </c>
      <c r="Q69" s="26">
        <f t="shared" si="11"/>
        <v>0</v>
      </c>
      <c r="R69" s="26">
        <f t="shared" si="11"/>
        <v>0</v>
      </c>
      <c r="S69" s="26">
        <f t="shared" si="11"/>
        <v>0</v>
      </c>
      <c r="T69" s="27">
        <f t="shared" si="11"/>
        <v>3</v>
      </c>
      <c r="V69" s="14" t="s">
        <v>127</v>
      </c>
    </row>
    <row r="70" spans="1:30" ht="13.5" customHeight="1" thickBot="1">
      <c r="A70" s="26">
        <v>15</v>
      </c>
      <c r="B70" s="33">
        <v>13</v>
      </c>
      <c r="C70" s="34" t="str">
        <f>'Chaves 1a.Fase'!C22</f>
        <v>ELISANDRO</v>
      </c>
      <c r="D70" s="88">
        <v>1</v>
      </c>
      <c r="E70" s="87">
        <v>0</v>
      </c>
      <c r="F70" s="35" t="str">
        <f>'Chaves 1a.Fase'!C20</f>
        <v>THIAGO SCH.</v>
      </c>
      <c r="G70" s="36" t="str">
        <f>'Chaves 1a.Fase'!D8</f>
        <v>ITALO</v>
      </c>
      <c r="H70" s="26"/>
      <c r="I70" s="14" t="str">
        <f t="shared" si="1"/>
        <v>ELISANDRO</v>
      </c>
      <c r="J70" s="14" t="str">
        <f t="shared" si="2"/>
        <v>THIAGO SCH.</v>
      </c>
      <c r="L70" s="37" t="str">
        <f t="shared" si="11"/>
        <v>KEVIN</v>
      </c>
      <c r="M70" s="38">
        <f t="shared" si="11"/>
        <v>3</v>
      </c>
      <c r="N70" s="38">
        <f t="shared" si="11"/>
        <v>0</v>
      </c>
      <c r="O70" s="38">
        <f t="shared" si="11"/>
        <v>2</v>
      </c>
      <c r="P70" s="38">
        <f t="shared" si="11"/>
        <v>1</v>
      </c>
      <c r="Q70" s="38">
        <f t="shared" si="11"/>
        <v>1</v>
      </c>
      <c r="R70" s="38">
        <f t="shared" si="11"/>
        <v>8</v>
      </c>
      <c r="S70" s="38">
        <f t="shared" si="11"/>
        <v>-7</v>
      </c>
      <c r="T70" s="39">
        <f t="shared" si="11"/>
        <v>1</v>
      </c>
      <c r="W70" s="14" t="s">
        <v>107</v>
      </c>
      <c r="X70" s="14" t="s">
        <v>108</v>
      </c>
      <c r="Y70" s="14" t="s">
        <v>109</v>
      </c>
      <c r="Z70" s="14" t="s">
        <v>85</v>
      </c>
      <c r="AA70" s="14" t="s">
        <v>110</v>
      </c>
      <c r="AB70" s="14" t="s">
        <v>111</v>
      </c>
      <c r="AC70" s="14" t="s">
        <v>112</v>
      </c>
      <c r="AD70" s="14" t="s">
        <v>113</v>
      </c>
    </row>
    <row r="71" spans="1:71" ht="13.5" customHeight="1" thickBot="1">
      <c r="A71" s="26">
        <v>15</v>
      </c>
      <c r="B71" s="33">
        <v>14</v>
      </c>
      <c r="C71" s="34" t="str">
        <f>'Chaves 1a.Fase'!C23</f>
        <v>RUI</v>
      </c>
      <c r="D71" s="88">
        <v>0</v>
      </c>
      <c r="E71" s="87">
        <v>1</v>
      </c>
      <c r="F71" s="35" t="str">
        <f>'Chaves 1a.Fase'!C21</f>
        <v>MATEUS</v>
      </c>
      <c r="G71" s="36" t="str">
        <f>'Chaves 1a.Fase'!D9</f>
        <v>AZAMBUJA</v>
      </c>
      <c r="H71" s="26"/>
      <c r="I71" s="14" t="str">
        <f aca="true" t="shared" si="12" ref="I71:I107">IF(D71&lt;&gt;"",IF(D71&gt;E71,C71,IF(E71&gt;D71,F71,"Draw")),"")</f>
        <v>MATEUS</v>
      </c>
      <c r="J71" s="14" t="str">
        <f aca="true" t="shared" si="13" ref="J71:J107">IF(D71&lt;&gt;"",IF(D71&lt;E71,C71,IF(E71&lt;D71,F71,"Draw")),"")</f>
        <v>RUI</v>
      </c>
      <c r="V71" s="14" t="str">
        <f>'Chaves 1a.Fase'!B14</f>
        <v>KEVIN</v>
      </c>
      <c r="W71" s="14">
        <f>COUNT(INTER_JOGOS)</f>
        <v>3</v>
      </c>
      <c r="X71" s="14">
        <f>COUNTIF(Groupstage_Winners,'Chaves 1a.Fase'!B14)</f>
        <v>0</v>
      </c>
      <c r="Y71" s="14">
        <f>COUNTIF(Groupstage_Losers,'Chaves 1a.Fase'!B14)</f>
        <v>2</v>
      </c>
      <c r="Z71" s="14">
        <f>W71-(X71+Y71)</f>
        <v>1</v>
      </c>
      <c r="AA71" s="14">
        <f>SUM(INTER_JOGOS)</f>
        <v>1</v>
      </c>
      <c r="AB71" s="14">
        <f>SUM(INTER_ADV)</f>
        <v>8</v>
      </c>
      <c r="AC71" s="14">
        <f>AA71-AB71</f>
        <v>-7</v>
      </c>
      <c r="AD71" s="14">
        <f>X71*Winpoints+Z71*Drawpoints</f>
        <v>1</v>
      </c>
      <c r="AE71" s="14" t="str">
        <f>IF($AD71&gt;=$AD72,$V71,$V72)</f>
        <v>RENAN</v>
      </c>
      <c r="AF71" s="14">
        <f>VLOOKUP($AE71,$V71:$AD74,9,FALSE)</f>
        <v>3</v>
      </c>
      <c r="AG71" s="14" t="str">
        <f>IF($AF71&gt;=$AF73,$AE71,$AE73)</f>
        <v>FELIPE</v>
      </c>
      <c r="AH71" s="14">
        <f>VLOOKUP($AG71,$V71:$AD74,9,FALSE)</f>
        <v>5</v>
      </c>
      <c r="AI71" s="14" t="str">
        <f>IF($AH71&gt;=$AH74,$AG71,$AG74)</f>
        <v>FELIPE</v>
      </c>
      <c r="AJ71" s="14">
        <f>VLOOKUP($AI71,$V71:$AD74,9,FALSE)</f>
        <v>5</v>
      </c>
      <c r="AK71" s="14">
        <f>VLOOKUP($AI71,$V71:$AD74,8,FALSE)</f>
        <v>5</v>
      </c>
      <c r="AL71" s="14" t="str">
        <f>IF(AND($AJ71=$AJ72,$AK72&gt;$AK71),$AI72,$AI71)</f>
        <v>FELIPE</v>
      </c>
      <c r="AM71" s="14">
        <f>VLOOKUP($AL71,$V71:$AD74,9,FALSE)</f>
        <v>5</v>
      </c>
      <c r="AN71" s="14">
        <f>VLOOKUP($AL71,$V71:$AD74,8,FALSE)</f>
        <v>5</v>
      </c>
      <c r="AO71" s="14" t="str">
        <f>IF(AND($AM71=$AM73,$AN73&gt;$AN71),$AL73,$AL71)</f>
        <v>FELIPE</v>
      </c>
      <c r="AP71" s="14">
        <f>VLOOKUP($AO71,$V71:$AD74,9,FALSE)</f>
        <v>5</v>
      </c>
      <c r="AQ71" s="14">
        <f>VLOOKUP($AO71,$V71:$AD74,8,FALSE)</f>
        <v>5</v>
      </c>
      <c r="AR71" s="14" t="str">
        <f>IF(AND($AP71=$AP74,$AQ74&gt;$AQ71),$AO74,$AO71)</f>
        <v>FELIPE</v>
      </c>
      <c r="AS71" s="14">
        <f>VLOOKUP($AR71,$V71:$AD74,9,FALSE)</f>
        <v>5</v>
      </c>
      <c r="AT71" s="14">
        <f>VLOOKUP($AR71,$V71:$AD74,8,FALSE)</f>
        <v>5</v>
      </c>
      <c r="AU71" s="14">
        <f>VLOOKUP($AR71,$V71:$AD74,6,FALSE)</f>
        <v>5</v>
      </c>
      <c r="AV71" s="14" t="str">
        <f>IF(AND($AS71=$AS72,$AT71=$AT72,$AU72&gt;$AU71),$AR72,$AR71)</f>
        <v>FELIPE</v>
      </c>
      <c r="AW71" s="14">
        <f>VLOOKUP($AV71,$V71:$AD74,9,FALSE)</f>
        <v>5</v>
      </c>
      <c r="AX71" s="14">
        <f>VLOOKUP($AV71,$V71:$AD74,8,FALSE)</f>
        <v>5</v>
      </c>
      <c r="AY71" s="14">
        <f>VLOOKUP($AV71,$V71:$AD74,6,FALSE)</f>
        <v>5</v>
      </c>
      <c r="AZ71" s="14" t="str">
        <f>IF(AND($AW71=$AW73,$AX71=$AX73,$AY73&gt;$AY71),$AV73,$AV71)</f>
        <v>FELIPE</v>
      </c>
      <c r="BA71" s="14">
        <f>VLOOKUP($AZ71,$V71:$AD74,9,FALSE)</f>
        <v>5</v>
      </c>
      <c r="BB71" s="14">
        <f>VLOOKUP($AZ71,$V71:$AD74,8,FALSE)</f>
        <v>5</v>
      </c>
      <c r="BC71" s="14">
        <f>VLOOKUP($AZ71,$V71:$AD74,6,FALSE)</f>
        <v>5</v>
      </c>
      <c r="BD71" s="14" t="str">
        <f>IF(AND($BA71=$BA74,$BB71=$BB74,$BC74&gt;$BC71),$AZ74,$AZ71)</f>
        <v>FELIPE</v>
      </c>
      <c r="BE71" s="14">
        <f>VLOOKUP($BD71,$V71:$AD74,9,FALSE)</f>
        <v>5</v>
      </c>
      <c r="BF71" s="14">
        <f>VLOOKUP($BD71,$V71:$AD74,8,FALSE)</f>
        <v>5</v>
      </c>
      <c r="BG71" s="14">
        <f>VLOOKUP($BD71,$V71:$AD74,6,FALSE)</f>
        <v>5</v>
      </c>
      <c r="BK71" s="14" t="str">
        <f>BD71</f>
        <v>FELIPE</v>
      </c>
      <c r="BL71" s="14">
        <f>VLOOKUP($BK71,$V71:$AD74,2,FALSE)</f>
        <v>3</v>
      </c>
      <c r="BM71" s="14">
        <f>VLOOKUP($BK71,$V71:$AD74,3,FALSE)</f>
        <v>1</v>
      </c>
      <c r="BN71" s="14">
        <f>VLOOKUP($BK71,$V71:$AD74,4,FALSE)</f>
        <v>0</v>
      </c>
      <c r="BO71" s="14">
        <f>VLOOKUP($BK71,$V71:$AD74,5,FALSE)</f>
        <v>2</v>
      </c>
      <c r="BP71" s="14">
        <f>VLOOKUP($BK71,$V71:$AD74,6,FALSE)</f>
        <v>5</v>
      </c>
      <c r="BQ71" s="14">
        <f>VLOOKUP($BK71,$V71:$AD74,7,FALSE)</f>
        <v>0</v>
      </c>
      <c r="BR71" s="14">
        <f>VLOOKUP($BK71,$V71:$AD74,8,FALSE)</f>
        <v>5</v>
      </c>
      <c r="BS71" s="14">
        <f>VLOOKUP($BK71,$V71:$AD74,9,FALSE)</f>
        <v>5</v>
      </c>
    </row>
    <row r="72" spans="1:71" ht="13.5" customHeight="1" thickBot="1">
      <c r="A72" s="26">
        <v>16</v>
      </c>
      <c r="B72" s="33">
        <v>15</v>
      </c>
      <c r="C72" s="34" t="str">
        <f>'Chaves 1a.Fase'!D22</f>
        <v>LEANDRINHO</v>
      </c>
      <c r="D72" s="88">
        <v>0</v>
      </c>
      <c r="E72" s="87">
        <v>0</v>
      </c>
      <c r="F72" s="35" t="str">
        <f>'Chaves 1a.Fase'!D20</f>
        <v>ROGÉRIO HAR.</v>
      </c>
      <c r="G72" s="36" t="str">
        <f>'Chaves 1a.Fase'!D10</f>
        <v>ALEX</v>
      </c>
      <c r="H72" s="26"/>
      <c r="I72" s="14" t="str">
        <f t="shared" si="12"/>
        <v>Draw</v>
      </c>
      <c r="J72" s="14" t="str">
        <f t="shared" si="13"/>
        <v>Draw</v>
      </c>
      <c r="L72" s="19" t="s">
        <v>42</v>
      </c>
      <c r="M72" s="20"/>
      <c r="N72" s="20"/>
      <c r="O72" s="20"/>
      <c r="P72" s="20"/>
      <c r="Q72" s="20"/>
      <c r="R72" s="20"/>
      <c r="S72" s="20"/>
      <c r="T72" s="21"/>
      <c r="V72" s="14" t="str">
        <f>'Chaves 1a.Fase'!B15</f>
        <v>RENAN</v>
      </c>
      <c r="W72" s="14">
        <f>COUNT(AVAI_JOGOS)</f>
        <v>3</v>
      </c>
      <c r="X72" s="14">
        <f>COUNTIF(Groupstage_Winners,'Chaves 1a.Fase'!B15)</f>
        <v>0</v>
      </c>
      <c r="Y72" s="14">
        <f>COUNTIF(Groupstage_Losers,'Chaves 1a.Fase'!B15)</f>
        <v>0</v>
      </c>
      <c r="Z72" s="14">
        <f>W72-(X72+Y72)</f>
        <v>3</v>
      </c>
      <c r="AA72" s="14">
        <f>SUM(AVAI_JOGOS)</f>
        <v>0</v>
      </c>
      <c r="AB72" s="14">
        <f>SUM(AVAI_ADV)</f>
        <v>0</v>
      </c>
      <c r="AC72" s="14">
        <f>AA72-AB72</f>
        <v>0</v>
      </c>
      <c r="AD72" s="14">
        <f>X72*Winpoints+Z72*Drawpoints</f>
        <v>3</v>
      </c>
      <c r="AE72" s="14" t="str">
        <f>IF($AD72&lt;=$AD71,$V72,$V71)</f>
        <v>KEVIN</v>
      </c>
      <c r="AF72" s="14">
        <f>VLOOKUP($AE72,$V71:$AD74,9,FALSE)</f>
        <v>1</v>
      </c>
      <c r="AG72" s="14" t="str">
        <f>IF(AF72&gt;=AF74,AE72,AE74)</f>
        <v>OSMAR</v>
      </c>
      <c r="AH72" s="14">
        <f>VLOOKUP($AG72,$V71:$AD74,9,FALSE)</f>
        <v>5</v>
      </c>
      <c r="AI72" s="14" t="str">
        <f>IF($AH72&gt;=$AH73,$AG72,$AG73)</f>
        <v>OSMAR</v>
      </c>
      <c r="AJ72" s="14">
        <f>VLOOKUP($AI72,$V71:$AD74,9,FALSE)</f>
        <v>5</v>
      </c>
      <c r="AK72" s="14">
        <f>VLOOKUP($AI72,$V71:$AD74,8,FALSE)</f>
        <v>2</v>
      </c>
      <c r="AL72" s="14" t="str">
        <f>IF(AND($AJ71=$AJ72,$AK72&gt;$AK71),$AI71,$AI72)</f>
        <v>OSMAR</v>
      </c>
      <c r="AM72" s="14">
        <f>VLOOKUP($AL72,$V71:$AD74,9,FALSE)</f>
        <v>5</v>
      </c>
      <c r="AN72" s="14">
        <f>VLOOKUP($AL72,$V71:$AD74,8,FALSE)</f>
        <v>2</v>
      </c>
      <c r="AO72" s="14" t="str">
        <f>IF(AND($AM72=$AM74,$AN74&gt;$AN72),$AL74,$AL72)</f>
        <v>OSMAR</v>
      </c>
      <c r="AP72" s="14">
        <f>VLOOKUP($AO72,$V71:$AD74,9,FALSE)</f>
        <v>5</v>
      </c>
      <c r="AQ72" s="14">
        <f>VLOOKUP($AO72,$V71:$AD74,8,FALSE)</f>
        <v>2</v>
      </c>
      <c r="AR72" s="14" t="str">
        <f>IF(AND($AP72=$AP73,$AQ73&gt;$AQ72),$AO73,$AO72)</f>
        <v>OSMAR</v>
      </c>
      <c r="AS72" s="14">
        <f>VLOOKUP($AR72,$V71:$AD74,9,FALSE)</f>
        <v>5</v>
      </c>
      <c r="AT72" s="14">
        <f>VLOOKUP($AR72,$V71:$AD74,8,FALSE)</f>
        <v>2</v>
      </c>
      <c r="AU72" s="14">
        <f>VLOOKUP($AR72,$V71:$AD74,6,FALSE)</f>
        <v>3</v>
      </c>
      <c r="AV72" s="14" t="str">
        <f>IF(AND($AS71=$AS72,$AT71=$AT72,$AU72&gt;$AU71),$AR71,$AR72)</f>
        <v>OSMAR</v>
      </c>
      <c r="AW72" s="14">
        <f>VLOOKUP($AV72,$V71:$AD74,9,FALSE)</f>
        <v>5</v>
      </c>
      <c r="AX72" s="14">
        <f>VLOOKUP($AV72,$V71:$AD74,8,FALSE)</f>
        <v>2</v>
      </c>
      <c r="AY72" s="14">
        <f>VLOOKUP($AV72,$V71:$AD74,6,FALSE)</f>
        <v>3</v>
      </c>
      <c r="AZ72" s="14" t="str">
        <f>IF(AND($AW72=$AW74,$AX72=$AX74,$AY74&gt;$AY72),$AV74,$AV72)</f>
        <v>OSMAR</v>
      </c>
      <c r="BA72" s="14">
        <f>VLOOKUP($AZ72,$V71:$AD74,9,FALSE)</f>
        <v>5</v>
      </c>
      <c r="BB72" s="14">
        <f>VLOOKUP($AZ72,$V71:$AD74,8,FALSE)</f>
        <v>2</v>
      </c>
      <c r="BC72" s="14">
        <f>VLOOKUP($AZ72,$V71:$AD74,6,FALSE)</f>
        <v>3</v>
      </c>
      <c r="BD72" s="14" t="str">
        <f>IF(AND($BA72=$BA73,$BB72=$BB73,$BC73&gt;$BC72),$AZ73,$AZ72)</f>
        <v>OSMAR</v>
      </c>
      <c r="BE72" s="14">
        <f>VLOOKUP($BD72,$V71:$AD74,9,FALSE)</f>
        <v>5</v>
      </c>
      <c r="BF72" s="14">
        <f>VLOOKUP($BD72,$V71:$AD74,8,FALSE)</f>
        <v>2</v>
      </c>
      <c r="BG72" s="14">
        <f>VLOOKUP($BD72,$V71:$AD74,6,FALSE)</f>
        <v>3</v>
      </c>
      <c r="BK72" s="14" t="str">
        <f>BD72</f>
        <v>OSMAR</v>
      </c>
      <c r="BL72" s="14">
        <f>VLOOKUP($BK72,$V71:$AD74,2,FALSE)</f>
        <v>3</v>
      </c>
      <c r="BM72" s="14">
        <f>VLOOKUP($BK72,$V71:$AD74,3,FALSE)</f>
        <v>1</v>
      </c>
      <c r="BN72" s="14">
        <f>VLOOKUP($BK72,$V71:$AD74,4,FALSE)</f>
        <v>0</v>
      </c>
      <c r="BO72" s="14">
        <f>VLOOKUP($BK72,$V71:$AD74,5,FALSE)</f>
        <v>2</v>
      </c>
      <c r="BP72" s="14">
        <f>VLOOKUP($BK72,$V71:$AD74,6,FALSE)</f>
        <v>3</v>
      </c>
      <c r="BQ72" s="14">
        <f>VLOOKUP($BK72,$V71:$AD74,7,FALSE)</f>
        <v>1</v>
      </c>
      <c r="BR72" s="14">
        <f>VLOOKUP($BK72,$V71:$AD74,8,FALSE)</f>
        <v>2</v>
      </c>
      <c r="BS72" s="14">
        <f>VLOOKUP($BK72,$V71:$AD74,9,FALSE)</f>
        <v>5</v>
      </c>
    </row>
    <row r="73" spans="1:71" ht="13.5" customHeight="1" thickBot="1">
      <c r="A73" s="26">
        <v>16</v>
      </c>
      <c r="B73" s="33">
        <v>16</v>
      </c>
      <c r="C73" s="34" t="str">
        <f>'Chaves 1a.Fase'!D23</f>
        <v>VICTOR</v>
      </c>
      <c r="D73" s="88">
        <v>0</v>
      </c>
      <c r="E73" s="87">
        <v>3</v>
      </c>
      <c r="F73" s="35" t="str">
        <f>'Chaves 1a.Fase'!D21</f>
        <v>ALESSANDRO</v>
      </c>
      <c r="G73" s="36" t="str">
        <f>'Chaves 1a.Fase'!D11</f>
        <v>MALLET</v>
      </c>
      <c r="H73" s="26"/>
      <c r="I73" s="14" t="str">
        <f t="shared" si="12"/>
        <v>ALESSANDRO</v>
      </c>
      <c r="J73" s="14" t="str">
        <f t="shared" si="13"/>
        <v>VICTOR</v>
      </c>
      <c r="L73" s="22"/>
      <c r="M73" s="23" t="s">
        <v>83</v>
      </c>
      <c r="N73" s="23" t="s">
        <v>84</v>
      </c>
      <c r="O73" s="23" t="s">
        <v>85</v>
      </c>
      <c r="P73" s="23" t="s">
        <v>86</v>
      </c>
      <c r="Q73" s="23" t="s">
        <v>87</v>
      </c>
      <c r="R73" s="23" t="s">
        <v>88</v>
      </c>
      <c r="S73" s="23" t="s">
        <v>89</v>
      </c>
      <c r="T73" s="24" t="s">
        <v>90</v>
      </c>
      <c r="V73" s="14" t="str">
        <f>'Chaves 1a.Fase'!B16</f>
        <v>FELIPE</v>
      </c>
      <c r="W73" s="14">
        <f>COUNT(CRICIUMA_JOGOS)</f>
        <v>3</v>
      </c>
      <c r="X73" s="14">
        <f>COUNTIF(Groupstage_Winners,'Chaves 1a.Fase'!B16)</f>
        <v>1</v>
      </c>
      <c r="Y73" s="14">
        <f>COUNTIF(Groupstage_Losers,'Chaves 1a.Fase'!B16)</f>
        <v>0</v>
      </c>
      <c r="Z73" s="14">
        <f>W73-(X73+Y73)</f>
        <v>2</v>
      </c>
      <c r="AA73" s="14">
        <f>SUM(CRICIUMA_JOGOS)</f>
        <v>5</v>
      </c>
      <c r="AB73" s="14">
        <f>SUM(CRICIUMA_ADV)</f>
        <v>0</v>
      </c>
      <c r="AC73" s="14">
        <f>AA73-AB73</f>
        <v>5</v>
      </c>
      <c r="AD73" s="14">
        <f>X73*Winpoints+Z73*Drawpoints</f>
        <v>5</v>
      </c>
      <c r="AE73" s="14" t="str">
        <f>IF($AD73&gt;=$AD74,$V73,$V74)</f>
        <v>FELIPE</v>
      </c>
      <c r="AF73" s="14">
        <f>VLOOKUP($AE73,$V71:$AD74,9,FALSE)</f>
        <v>5</v>
      </c>
      <c r="AG73" s="14" t="str">
        <f>IF($AF73&lt;=$AF71,$AE73,$AE71)</f>
        <v>RENAN</v>
      </c>
      <c r="AH73" s="14">
        <f>VLOOKUP($AG73,$V71:$AD74,9,FALSE)</f>
        <v>3</v>
      </c>
      <c r="AI73" s="14" t="str">
        <f>IF($AH73&lt;=$AH72,$AG73,$AG72)</f>
        <v>RENAN</v>
      </c>
      <c r="AJ73" s="14">
        <f>VLOOKUP($AI73,$V71:$AD74,9,FALSE)</f>
        <v>3</v>
      </c>
      <c r="AK73" s="14">
        <f>VLOOKUP($AI73,$V71:$AD74,8,FALSE)</f>
        <v>0</v>
      </c>
      <c r="AL73" s="14" t="str">
        <f>IF(AND($AJ73=$AJ74,$AK74&gt;$AK73),$AI74,$AI73)</f>
        <v>RENAN</v>
      </c>
      <c r="AM73" s="14">
        <f>VLOOKUP($AL73,$V71:$AD74,9,FALSE)</f>
        <v>3</v>
      </c>
      <c r="AN73" s="14">
        <f>VLOOKUP($AL73,$V71:$AD74,8,FALSE)</f>
        <v>0</v>
      </c>
      <c r="AO73" s="14" t="str">
        <f>IF(AND($AM71=$AM73,$AN73&gt;$AN71),$AL71,$AL73)</f>
        <v>RENAN</v>
      </c>
      <c r="AP73" s="14">
        <f>VLOOKUP($AO73,$V71:$AD74,9,FALSE)</f>
        <v>3</v>
      </c>
      <c r="AQ73" s="14">
        <f>VLOOKUP($AO73,$V71:$AD74,8,FALSE)</f>
        <v>0</v>
      </c>
      <c r="AR73" s="14" t="str">
        <f>IF(AND($AP72=$AP73,$AQ73&gt;$AQ72),$AO72,$AO73)</f>
        <v>RENAN</v>
      </c>
      <c r="AS73" s="14">
        <f>VLOOKUP($AR73,$V71:$AD74,9,FALSE)</f>
        <v>3</v>
      </c>
      <c r="AT73" s="14">
        <f>VLOOKUP($AR73,$V71:$AD74,8,FALSE)</f>
        <v>0</v>
      </c>
      <c r="AU73" s="14">
        <f>VLOOKUP($AR73,$V71:$AD74,6,FALSE)</f>
        <v>0</v>
      </c>
      <c r="AV73" s="14" t="str">
        <f>IF(AND($AS73=$AS74,$AT73=$AT74,$AU74&gt;$AU73),$AR74,$AR73)</f>
        <v>RENAN</v>
      </c>
      <c r="AW73" s="14">
        <f>VLOOKUP($AV73,$V71:$AD74,9,FALSE)</f>
        <v>3</v>
      </c>
      <c r="AX73" s="14">
        <f>VLOOKUP($AV73,$V71:$AD74,8,FALSE)</f>
        <v>0</v>
      </c>
      <c r="AY73" s="14">
        <f>VLOOKUP($AV73,$V71:$AD74,6,FALSE)</f>
        <v>0</v>
      </c>
      <c r="AZ73" s="14" t="str">
        <f>IF(AND($AW71=$AW73,$AX71=$AX73,$AY73&gt;$AY71),$AV71,$AV73)</f>
        <v>RENAN</v>
      </c>
      <c r="BA73" s="14">
        <f>VLOOKUP($AZ73,$V71:$AD74,9,FALSE)</f>
        <v>3</v>
      </c>
      <c r="BB73" s="14">
        <f>VLOOKUP($AZ73,$V71:$AD74,8,FALSE)</f>
        <v>0</v>
      </c>
      <c r="BC73" s="14">
        <f>VLOOKUP($AZ73,$V71:$AD74,6,FALSE)</f>
        <v>0</v>
      </c>
      <c r="BD73" s="14" t="str">
        <f>IF(AND($BA72=$BA73,$BB72=$BB73,$BC73&gt;$BC72),$AZ72,$AZ73)</f>
        <v>RENAN</v>
      </c>
      <c r="BE73" s="14">
        <f>VLOOKUP($BD73,$V71:$AD74,9,FALSE)</f>
        <v>3</v>
      </c>
      <c r="BF73" s="14">
        <f>VLOOKUP($BD73,$V71:$AD74,8,FALSE)</f>
        <v>0</v>
      </c>
      <c r="BG73" s="14">
        <f>VLOOKUP($BD73,$V71:$AD74,6,FALSE)</f>
        <v>0</v>
      </c>
      <c r="BK73" s="14" t="str">
        <f>BD73</f>
        <v>RENAN</v>
      </c>
      <c r="BL73" s="14">
        <f>VLOOKUP($BK73,$V71:$AD74,2,FALSE)</f>
        <v>3</v>
      </c>
      <c r="BM73" s="14">
        <f>VLOOKUP($BK73,$V71:$AD74,3,FALSE)</f>
        <v>0</v>
      </c>
      <c r="BN73" s="14">
        <f>VLOOKUP($BK73,$V71:$AD74,4,FALSE)</f>
        <v>0</v>
      </c>
      <c r="BO73" s="14">
        <f>VLOOKUP($BK73,$V71:$AD74,5,FALSE)</f>
        <v>3</v>
      </c>
      <c r="BP73" s="14">
        <f>VLOOKUP($BK73,$V71:$AD74,6,FALSE)</f>
        <v>0</v>
      </c>
      <c r="BQ73" s="14">
        <f>VLOOKUP($BK73,$V71:$AD74,7,FALSE)</f>
        <v>0</v>
      </c>
      <c r="BR73" s="14">
        <f>VLOOKUP($BK73,$V71:$AD74,8,FALSE)</f>
        <v>0</v>
      </c>
      <c r="BS73" s="14">
        <f>VLOOKUP($BK73,$V71:$AD74,9,FALSE)</f>
        <v>3</v>
      </c>
    </row>
    <row r="74" spans="1:71" ht="15.75" customHeight="1">
      <c r="A74" s="74" t="s">
        <v>128</v>
      </c>
      <c r="B74" s="74"/>
      <c r="C74" s="74"/>
      <c r="D74" s="74"/>
      <c r="E74" s="74"/>
      <c r="F74" s="74"/>
      <c r="G74" s="74"/>
      <c r="H74" s="74"/>
      <c r="L74" s="25" t="str">
        <f aca="true" t="shared" si="14" ref="L74:T77">BK78</f>
        <v>JOÃO GARIMA</v>
      </c>
      <c r="M74" s="26">
        <f t="shared" si="14"/>
        <v>3</v>
      </c>
      <c r="N74" s="26">
        <f t="shared" si="14"/>
        <v>3</v>
      </c>
      <c r="O74" s="26">
        <f t="shared" si="14"/>
        <v>0</v>
      </c>
      <c r="P74" s="26">
        <f t="shared" si="14"/>
        <v>0</v>
      </c>
      <c r="Q74" s="26">
        <f t="shared" si="14"/>
        <v>6</v>
      </c>
      <c r="R74" s="26">
        <f t="shared" si="14"/>
        <v>0</v>
      </c>
      <c r="S74" s="26">
        <f t="shared" si="14"/>
        <v>6</v>
      </c>
      <c r="T74" s="27">
        <f t="shared" si="14"/>
        <v>9</v>
      </c>
      <c r="V74" s="14" t="str">
        <f>'Chaves 1a.Fase'!B17</f>
        <v>OSMAR</v>
      </c>
      <c r="W74" s="14">
        <f>COUNT(SANTOS_JOGOS)</f>
        <v>3</v>
      </c>
      <c r="X74" s="14">
        <f>COUNTIF(Groupstage_Winners,'Chaves 1a.Fase'!B17)</f>
        <v>1</v>
      </c>
      <c r="Y74" s="14">
        <f>COUNTIF(Groupstage_Losers,'Chaves 1a.Fase'!B17)</f>
        <v>0</v>
      </c>
      <c r="Z74" s="14">
        <f>W74-(X74+Y74)</f>
        <v>2</v>
      </c>
      <c r="AA74" s="14">
        <f>SUM(SANTOS_JOGOS)</f>
        <v>3</v>
      </c>
      <c r="AB74" s="14">
        <f>SUM(SANTOS_ADV)</f>
        <v>1</v>
      </c>
      <c r="AC74" s="14">
        <f>AA74-AB74</f>
        <v>2</v>
      </c>
      <c r="AD74" s="14">
        <f>X74*Winpoints+Z74*Drawpoints</f>
        <v>5</v>
      </c>
      <c r="AE74" s="14" t="str">
        <f>IF($AD74&lt;=$AD73,$V74,$V73)</f>
        <v>OSMAR</v>
      </c>
      <c r="AF74" s="14">
        <f>VLOOKUP($AE74,$V71:$AD74,9,FALSE)</f>
        <v>5</v>
      </c>
      <c r="AG74" s="14" t="str">
        <f>IF(AF74&lt;=AF72,AE74,AE72)</f>
        <v>KEVIN</v>
      </c>
      <c r="AH74" s="14">
        <f>VLOOKUP($AG74,$V71:$AD74,9,FALSE)</f>
        <v>1</v>
      </c>
      <c r="AI74" s="14" t="str">
        <f>IF($AH74&lt;=$AH71,$AG74,$AG71)</f>
        <v>KEVIN</v>
      </c>
      <c r="AJ74" s="14">
        <f>VLOOKUP($AI74,$V71:$AD74,9,FALSE)</f>
        <v>1</v>
      </c>
      <c r="AK74" s="14">
        <f>VLOOKUP($AI74,$V71:$AD74,8,FALSE)</f>
        <v>-7</v>
      </c>
      <c r="AL74" s="14" t="str">
        <f>IF(AND($AJ73=$AJ74,$AK74&gt;$AK73),$AI73,$AI74)</f>
        <v>KEVIN</v>
      </c>
      <c r="AM74" s="14">
        <f>VLOOKUP($AL74,$V71:$AD74,9,FALSE)</f>
        <v>1</v>
      </c>
      <c r="AN74" s="14">
        <f>VLOOKUP($AL74,$V71:$AD74,8,FALSE)</f>
        <v>-7</v>
      </c>
      <c r="AO74" s="14" t="str">
        <f>IF(AND($AM72=$AM74,$AN74&gt;$AN72),$AL72,$AL74)</f>
        <v>KEVIN</v>
      </c>
      <c r="AP74" s="14">
        <f>VLOOKUP($AO74,$V71:$AD74,9,FALSE)</f>
        <v>1</v>
      </c>
      <c r="AQ74" s="14">
        <f>VLOOKUP($AO74,$V71:$AD74,8,FALSE)</f>
        <v>-7</v>
      </c>
      <c r="AR74" s="14" t="str">
        <f>IF(AND($AP71=$AP74,$AQ74&gt;$AQ71),$AO71,$AO74)</f>
        <v>KEVIN</v>
      </c>
      <c r="AS74" s="14">
        <f>VLOOKUP($AR74,$V71:$AD74,9,FALSE)</f>
        <v>1</v>
      </c>
      <c r="AT74" s="14">
        <f>VLOOKUP($AR74,$V71:$AD74,8,FALSE)</f>
        <v>-7</v>
      </c>
      <c r="AU74" s="14">
        <f>VLOOKUP($AR74,$V71:$AD74,6,FALSE)</f>
        <v>1</v>
      </c>
      <c r="AV74" s="14" t="str">
        <f>IF(AND($AS73=$AS74,$AT73=$AT74,$AU74&gt;$AU73),$AR73,$AR74)</f>
        <v>KEVIN</v>
      </c>
      <c r="AW74" s="14">
        <f>VLOOKUP($AV74,$V71:$AD74,9,FALSE)</f>
        <v>1</v>
      </c>
      <c r="AX74" s="14">
        <f>VLOOKUP($AV74,$V71:$AD74,8,FALSE)</f>
        <v>-7</v>
      </c>
      <c r="AY74" s="14">
        <f>VLOOKUP($AV74,$V71:$AD74,6,FALSE)</f>
        <v>1</v>
      </c>
      <c r="AZ74" s="14" t="str">
        <f>IF(AND($AW72=$AW74,$AX72=$AX74,$AY74&gt;$AY72),$AV72,$AV74)</f>
        <v>KEVIN</v>
      </c>
      <c r="BA74" s="14">
        <f>VLOOKUP($AZ74,$V71:$AD74,9,FALSE)</f>
        <v>1</v>
      </c>
      <c r="BB74" s="14">
        <f>VLOOKUP($AZ74,$V71:$AD74,8,FALSE)</f>
        <v>-7</v>
      </c>
      <c r="BC74" s="14">
        <f>VLOOKUP($AZ74,$V71:$AD74,6,FALSE)</f>
        <v>1</v>
      </c>
      <c r="BD74" s="14" t="str">
        <f>IF(AND($BA71=$BA74,$BB71=$BB74,$BC74&gt;$BC71),$AZ71,$AZ74)</f>
        <v>KEVIN</v>
      </c>
      <c r="BE74" s="14">
        <f>VLOOKUP($BD74,$V71:$AD74,9,FALSE)</f>
        <v>1</v>
      </c>
      <c r="BF74" s="14">
        <f>VLOOKUP($BD74,$V71:$AD74,8,FALSE)</f>
        <v>-7</v>
      </c>
      <c r="BG74" s="14">
        <f>VLOOKUP($BD74,$V71:$AD74,6,FALSE)</f>
        <v>1</v>
      </c>
      <c r="BK74" s="14" t="str">
        <f>BD74</f>
        <v>KEVIN</v>
      </c>
      <c r="BL74" s="14">
        <f>VLOOKUP($BK74,$V71:$AD74,2,FALSE)</f>
        <v>3</v>
      </c>
      <c r="BM74" s="14">
        <f>VLOOKUP($BK74,$V71:$AD74,3,FALSE)</f>
        <v>0</v>
      </c>
      <c r="BN74" s="14">
        <f>VLOOKUP($BK74,$V71:$AD74,4,FALSE)</f>
        <v>2</v>
      </c>
      <c r="BO74" s="14">
        <f>VLOOKUP($BK74,$V71:$AD74,5,FALSE)</f>
        <v>1</v>
      </c>
      <c r="BP74" s="14">
        <f>VLOOKUP($BK74,$V71:$AD74,6,FALSE)</f>
        <v>1</v>
      </c>
      <c r="BQ74" s="14">
        <f>VLOOKUP($BK74,$V71:$AD74,7,FALSE)</f>
        <v>8</v>
      </c>
      <c r="BR74" s="14">
        <f>VLOOKUP($BK74,$V71:$AD74,8,FALSE)</f>
        <v>-7</v>
      </c>
      <c r="BS74" s="14">
        <f>VLOOKUP($BK74,$V71:$AD74,9,FALSE)</f>
        <v>1</v>
      </c>
    </row>
    <row r="75" spans="1:20" ht="13.5" customHeight="1" thickBot="1">
      <c r="A75" s="26">
        <v>1</v>
      </c>
      <c r="B75" s="33">
        <v>1</v>
      </c>
      <c r="C75" s="34" t="str">
        <f>'Chaves 1a.Fase'!A2</f>
        <v>PAULO</v>
      </c>
      <c r="D75" s="90">
        <v>0</v>
      </c>
      <c r="E75" s="91">
        <v>1</v>
      </c>
      <c r="F75" s="35" t="str">
        <f>'Chaves 1a.Fase'!A3</f>
        <v>LEÃO</v>
      </c>
      <c r="G75" s="36" t="str">
        <f>'Chaves 1a.Fase'!A14</f>
        <v>JULINHO</v>
      </c>
      <c r="H75" s="26"/>
      <c r="I75" s="14" t="str">
        <f t="shared" si="12"/>
        <v>LEÃO</v>
      </c>
      <c r="J75" s="14" t="str">
        <f t="shared" si="13"/>
        <v>PAULO</v>
      </c>
      <c r="L75" s="25" t="str">
        <f t="shared" si="14"/>
        <v>PUFAL</v>
      </c>
      <c r="M75" s="26">
        <f t="shared" si="14"/>
        <v>3</v>
      </c>
      <c r="N75" s="26">
        <f t="shared" si="14"/>
        <v>2</v>
      </c>
      <c r="O75" s="26">
        <f t="shared" si="14"/>
        <v>1</v>
      </c>
      <c r="P75" s="26">
        <f t="shared" si="14"/>
        <v>0</v>
      </c>
      <c r="Q75" s="26">
        <f t="shared" si="14"/>
        <v>3</v>
      </c>
      <c r="R75" s="26">
        <f t="shared" si="14"/>
        <v>3</v>
      </c>
      <c r="S75" s="26">
        <f t="shared" si="14"/>
        <v>0</v>
      </c>
      <c r="T75" s="27">
        <f t="shared" si="14"/>
        <v>6</v>
      </c>
    </row>
    <row r="76" spans="1:22" ht="13.5" customHeight="1" thickBot="1">
      <c r="A76" s="26">
        <v>1</v>
      </c>
      <c r="B76" s="33">
        <v>2</v>
      </c>
      <c r="C76" s="34" t="str">
        <f>'Chaves 1a.Fase'!A4</f>
        <v>DIOGO BRAGA</v>
      </c>
      <c r="D76" s="88">
        <v>1</v>
      </c>
      <c r="E76" s="87">
        <v>2</v>
      </c>
      <c r="F76" s="35" t="str">
        <f>'Chaves 1a.Fase'!A5</f>
        <v>ROBSON</v>
      </c>
      <c r="G76" s="36" t="str">
        <f>'Chaves 1a.Fase'!B14</f>
        <v>KEVIN</v>
      </c>
      <c r="H76" s="26"/>
      <c r="I76" s="14" t="str">
        <f t="shared" si="12"/>
        <v>ROBSON</v>
      </c>
      <c r="J76" s="14" t="str">
        <f t="shared" si="13"/>
        <v>DIOGO BRAGA</v>
      </c>
      <c r="L76" s="25" t="str">
        <f t="shared" si="14"/>
        <v>EVERTON</v>
      </c>
      <c r="M76" s="26">
        <f t="shared" si="14"/>
        <v>3</v>
      </c>
      <c r="N76" s="26">
        <f t="shared" si="14"/>
        <v>0</v>
      </c>
      <c r="O76" s="26">
        <f t="shared" si="14"/>
        <v>2</v>
      </c>
      <c r="P76" s="26">
        <f t="shared" si="14"/>
        <v>1</v>
      </c>
      <c r="Q76" s="26">
        <f t="shared" si="14"/>
        <v>1</v>
      </c>
      <c r="R76" s="26">
        <f t="shared" si="14"/>
        <v>4</v>
      </c>
      <c r="S76" s="26">
        <f t="shared" si="14"/>
        <v>-3</v>
      </c>
      <c r="T76" s="27">
        <f t="shared" si="14"/>
        <v>1</v>
      </c>
      <c r="V76" s="14" t="s">
        <v>129</v>
      </c>
    </row>
    <row r="77" spans="1:30" ht="13.5" customHeight="1" thickBot="1">
      <c r="A77" s="26">
        <v>2</v>
      </c>
      <c r="B77" s="33">
        <v>3</v>
      </c>
      <c r="C77" s="34" t="str">
        <f>'Chaves 1a.Fase'!B2</f>
        <v>CHRISTIAN</v>
      </c>
      <c r="D77" s="88">
        <v>0</v>
      </c>
      <c r="E77" s="87">
        <v>1</v>
      </c>
      <c r="F77" s="35" t="str">
        <f>'Chaves 1a.Fase'!B3</f>
        <v>ELIAS</v>
      </c>
      <c r="G77" s="36" t="str">
        <f>'Chaves 1a.Fase'!A15</f>
        <v>DANI</v>
      </c>
      <c r="H77" s="26"/>
      <c r="I77" s="14" t="str">
        <f t="shared" si="12"/>
        <v>ELIAS</v>
      </c>
      <c r="J77" s="14" t="str">
        <f t="shared" si="13"/>
        <v>CHRISTIAN</v>
      </c>
      <c r="L77" s="37" t="str">
        <f t="shared" si="14"/>
        <v>ROGÉRIO FEIJÓ</v>
      </c>
      <c r="M77" s="38">
        <f t="shared" si="14"/>
        <v>3</v>
      </c>
      <c r="N77" s="38">
        <f t="shared" si="14"/>
        <v>0</v>
      </c>
      <c r="O77" s="38">
        <f t="shared" si="14"/>
        <v>2</v>
      </c>
      <c r="P77" s="38">
        <f t="shared" si="14"/>
        <v>1</v>
      </c>
      <c r="Q77" s="38">
        <f t="shared" si="14"/>
        <v>0</v>
      </c>
      <c r="R77" s="38">
        <f t="shared" si="14"/>
        <v>3</v>
      </c>
      <c r="S77" s="38">
        <f t="shared" si="14"/>
        <v>-3</v>
      </c>
      <c r="T77" s="39">
        <f t="shared" si="14"/>
        <v>1</v>
      </c>
      <c r="W77" s="14" t="s">
        <v>107</v>
      </c>
      <c r="X77" s="14" t="s">
        <v>108</v>
      </c>
      <c r="Y77" s="14" t="s">
        <v>109</v>
      </c>
      <c r="Z77" s="14" t="s">
        <v>85</v>
      </c>
      <c r="AA77" s="14" t="s">
        <v>110</v>
      </c>
      <c r="AB77" s="14" t="s">
        <v>111</v>
      </c>
      <c r="AC77" s="14" t="s">
        <v>112</v>
      </c>
      <c r="AD77" s="14" t="s">
        <v>113</v>
      </c>
    </row>
    <row r="78" spans="1:71" ht="13.5" customHeight="1" thickBot="1">
      <c r="A78" s="26">
        <v>2</v>
      </c>
      <c r="B78" s="33">
        <v>4</v>
      </c>
      <c r="C78" s="34" t="str">
        <f>'Chaves 1a.Fase'!B4</f>
        <v>ALDYR</v>
      </c>
      <c r="D78" s="88">
        <v>0</v>
      </c>
      <c r="E78" s="87">
        <v>0</v>
      </c>
      <c r="F78" s="35" t="str">
        <f>'Chaves 1a.Fase'!B5</f>
        <v>BETÃO</v>
      </c>
      <c r="G78" s="36" t="str">
        <f>'Chaves 1a.Fase'!B15</f>
        <v>RENAN</v>
      </c>
      <c r="H78" s="26"/>
      <c r="I78" s="14" t="str">
        <f t="shared" si="12"/>
        <v>Draw</v>
      </c>
      <c r="J78" s="14" t="str">
        <f t="shared" si="13"/>
        <v>Draw</v>
      </c>
      <c r="V78" s="14" t="str">
        <f>'Chaves 1a.Fase'!C14</f>
        <v>JOÃO GARIMA</v>
      </c>
      <c r="W78" s="14">
        <f>COUNT(JUVE_JOGOS)</f>
        <v>3</v>
      </c>
      <c r="X78" s="14">
        <f>COUNTIF(Groupstage_Winners,'Chaves 1a.Fase'!C14)</f>
        <v>3</v>
      </c>
      <c r="Y78" s="14">
        <f>COUNTIF(Groupstage_Losers,'Chaves 1a.Fase'!C14)</f>
        <v>0</v>
      </c>
      <c r="Z78" s="14">
        <f>W78-(X78+Y78)</f>
        <v>0</v>
      </c>
      <c r="AA78" s="14">
        <f>SUM(JUVE_JOGOS)</f>
        <v>6</v>
      </c>
      <c r="AB78" s="14">
        <f>SUM(JUVE_ADV)</f>
        <v>0</v>
      </c>
      <c r="AC78" s="14">
        <f>AA78-AB78</f>
        <v>6</v>
      </c>
      <c r="AD78" s="14">
        <f>X78*Winpoints+Z78*Drawpoints</f>
        <v>9</v>
      </c>
      <c r="AE78" s="14" t="str">
        <f>IF($AD78&gt;=$AD79,$V78,$V79)</f>
        <v>JOÃO GARIMA</v>
      </c>
      <c r="AF78" s="14">
        <f>VLOOKUP($AE78,$V78:$AD81,9,FALSE)</f>
        <v>9</v>
      </c>
      <c r="AG78" s="14" t="str">
        <f>IF($AF78&gt;=$AF80,$AE78,$AE80)</f>
        <v>JOÃO GARIMA</v>
      </c>
      <c r="AH78" s="14">
        <f>VLOOKUP($AG78,$V78:$AD81,9,FALSE)</f>
        <v>9</v>
      </c>
      <c r="AI78" s="14" t="str">
        <f>IF($AH78&gt;=$AH81,$AG78,$AG81)</f>
        <v>JOÃO GARIMA</v>
      </c>
      <c r="AJ78" s="14">
        <f>VLOOKUP($AI78,$V78:$AD81,9,FALSE)</f>
        <v>9</v>
      </c>
      <c r="AK78" s="14">
        <f>VLOOKUP($AI78,$V78:$AD81,8,FALSE)</f>
        <v>6</v>
      </c>
      <c r="AL78" s="14" t="str">
        <f>IF(AND($AJ78=$AJ79,$AK79&gt;$AK78),$AI79,$AI78)</f>
        <v>JOÃO GARIMA</v>
      </c>
      <c r="AM78" s="14">
        <f>VLOOKUP($AL78,$V78:$AD81,9,FALSE)</f>
        <v>9</v>
      </c>
      <c r="AN78" s="14">
        <f>VLOOKUP($AL78,$V78:$AD81,8,FALSE)</f>
        <v>6</v>
      </c>
      <c r="AO78" s="14" t="str">
        <f>IF(AND($AM78=$AM80,$AN80&gt;$AN78),$AL80,$AL78)</f>
        <v>JOÃO GARIMA</v>
      </c>
      <c r="AP78" s="14">
        <f>VLOOKUP($AO78,$V78:$AD81,9,FALSE)</f>
        <v>9</v>
      </c>
      <c r="AQ78" s="14">
        <f>VLOOKUP($AO78,$V78:$AD81,8,FALSE)</f>
        <v>6</v>
      </c>
      <c r="AR78" s="14" t="str">
        <f>IF(AND($AP78=$AP81,$AQ81&gt;$AQ78),$AO81,$AO78)</f>
        <v>JOÃO GARIMA</v>
      </c>
      <c r="AS78" s="14">
        <f>VLOOKUP($AR78,$V78:$AD81,9,FALSE)</f>
        <v>9</v>
      </c>
      <c r="AT78" s="14">
        <f>VLOOKUP($AR78,$V78:$AD81,8,FALSE)</f>
        <v>6</v>
      </c>
      <c r="AU78" s="14">
        <f>VLOOKUP($AR78,$V78:$AD81,6,FALSE)</f>
        <v>6</v>
      </c>
      <c r="AV78" s="14" t="str">
        <f>IF(AND($AS78=$AS79,$AT78=$AT79,$AU79&gt;$AU78),$AR79,$AR78)</f>
        <v>JOÃO GARIMA</v>
      </c>
      <c r="AW78" s="14">
        <f>VLOOKUP($AV78,$V78:$AD81,9,FALSE)</f>
        <v>9</v>
      </c>
      <c r="AX78" s="14">
        <f>VLOOKUP($AV78,$V78:$AD81,8,FALSE)</f>
        <v>6</v>
      </c>
      <c r="AY78" s="14">
        <f>VLOOKUP($AV78,$V78:$AD81,6,FALSE)</f>
        <v>6</v>
      </c>
      <c r="AZ78" s="14" t="str">
        <f>IF(AND($AW78=$AW80,$AX78=$AX80,$AY80&gt;$AY78),$AV80,$AV78)</f>
        <v>JOÃO GARIMA</v>
      </c>
      <c r="BA78" s="14">
        <f>VLOOKUP($AZ78,$V78:$AD81,9,FALSE)</f>
        <v>9</v>
      </c>
      <c r="BB78" s="14">
        <f>VLOOKUP($AZ78,$V78:$AD81,8,FALSE)</f>
        <v>6</v>
      </c>
      <c r="BC78" s="14">
        <f>VLOOKUP($AZ78,$V78:$AD81,6,FALSE)</f>
        <v>6</v>
      </c>
      <c r="BD78" s="14" t="str">
        <f>IF(AND($BA78=$BA81,$BB78=$BB81,$BC81&gt;$BC78),$AZ81,$AZ78)</f>
        <v>JOÃO GARIMA</v>
      </c>
      <c r="BE78" s="14">
        <f>VLOOKUP($BD78,$V78:$AD81,9,FALSE)</f>
        <v>9</v>
      </c>
      <c r="BF78" s="14">
        <f>VLOOKUP($BD78,$V78:$AD81,8,FALSE)</f>
        <v>6</v>
      </c>
      <c r="BG78" s="14">
        <f>VLOOKUP($BD78,$V78:$AD81,6,FALSE)</f>
        <v>6</v>
      </c>
      <c r="BK78" s="14" t="str">
        <f>BD78</f>
        <v>JOÃO GARIMA</v>
      </c>
      <c r="BL78" s="14">
        <f>VLOOKUP($BK78,$V78:$AD81,2,FALSE)</f>
        <v>3</v>
      </c>
      <c r="BM78" s="14">
        <f>VLOOKUP($BK78,$V78:$AD81,3,FALSE)</f>
        <v>3</v>
      </c>
      <c r="BN78" s="14">
        <f>VLOOKUP($BK78,$V78:$AD81,4,FALSE)</f>
        <v>0</v>
      </c>
      <c r="BO78" s="14">
        <f>VLOOKUP($BK78,$V78:$AD81,5,FALSE)</f>
        <v>0</v>
      </c>
      <c r="BP78" s="14">
        <f>VLOOKUP($BK78,$V78:$AD81,6,FALSE)</f>
        <v>6</v>
      </c>
      <c r="BQ78" s="14">
        <f>VLOOKUP($BK78,$V78:$AD81,7,FALSE)</f>
        <v>0</v>
      </c>
      <c r="BR78" s="14">
        <f>VLOOKUP($BK78,$V78:$AD81,8,FALSE)</f>
        <v>6</v>
      </c>
      <c r="BS78" s="14">
        <f>VLOOKUP($BK78,$V78:$AD81,9,FALSE)</f>
        <v>9</v>
      </c>
    </row>
    <row r="79" spans="1:71" ht="13.5" customHeight="1" thickBot="1">
      <c r="A79" s="26">
        <v>3</v>
      </c>
      <c r="B79" s="33">
        <v>5</v>
      </c>
      <c r="C79" s="34" t="str">
        <f>'Chaves 1a.Fase'!C2</f>
        <v>RODRIGO B.</v>
      </c>
      <c r="D79" s="88">
        <v>1</v>
      </c>
      <c r="E79" s="87">
        <v>1</v>
      </c>
      <c r="F79" s="35" t="str">
        <f>'Chaves 1a.Fase'!C3</f>
        <v>ANTONIO</v>
      </c>
      <c r="G79" s="36" t="str">
        <f>'Chaves 1a.Fase'!C14</f>
        <v>JOÃO GARIMA</v>
      </c>
      <c r="H79" s="26"/>
      <c r="I79" s="14" t="str">
        <f t="shared" si="12"/>
        <v>Draw</v>
      </c>
      <c r="J79" s="14" t="str">
        <f t="shared" si="13"/>
        <v>Draw</v>
      </c>
      <c r="L79" s="19" t="s">
        <v>43</v>
      </c>
      <c r="M79" s="20"/>
      <c r="N79" s="20"/>
      <c r="O79" s="20"/>
      <c r="P79" s="20"/>
      <c r="Q79" s="20"/>
      <c r="R79" s="20"/>
      <c r="S79" s="20"/>
      <c r="T79" s="21"/>
      <c r="V79" s="14" t="str">
        <f>'Chaves 1a.Fase'!C15</f>
        <v>EVERTON</v>
      </c>
      <c r="W79" s="14">
        <f>COUNT(CORITIBA_JOGOS)</f>
        <v>3</v>
      </c>
      <c r="X79" s="14">
        <f>COUNTIF(Groupstage_Winners,'Chaves 1a.Fase'!C15)</f>
        <v>0</v>
      </c>
      <c r="Y79" s="14">
        <f>COUNTIF(Groupstage_Losers,'Chaves 1a.Fase'!C15)</f>
        <v>2</v>
      </c>
      <c r="Z79" s="14">
        <f>W79-(X79+Y79)</f>
        <v>1</v>
      </c>
      <c r="AA79" s="14">
        <f>SUM(CORITIBA_JOGOS)</f>
        <v>1</v>
      </c>
      <c r="AB79" s="14">
        <f>SUM(CORITIBA_ADV)</f>
        <v>4</v>
      </c>
      <c r="AC79" s="14">
        <f>AA79-AB79</f>
        <v>-3</v>
      </c>
      <c r="AD79" s="14">
        <f>X79*Winpoints+Z79*Drawpoints</f>
        <v>1</v>
      </c>
      <c r="AE79" s="14" t="str">
        <f>IF($AD79&lt;=$AD78,$V79,$V78)</f>
        <v>EVERTON</v>
      </c>
      <c r="AF79" s="14">
        <f>VLOOKUP($AE79,$V78:$AD81,9,FALSE)</f>
        <v>1</v>
      </c>
      <c r="AG79" s="14" t="str">
        <f>IF(AF79&gt;=AF81,AE79,AE81)</f>
        <v>EVERTON</v>
      </c>
      <c r="AH79" s="14">
        <f>VLOOKUP($AG79,$V78:$AD81,9,FALSE)</f>
        <v>1</v>
      </c>
      <c r="AI79" s="14" t="str">
        <f>IF($AH79&gt;=$AH80,$AG79,$AG80)</f>
        <v>PUFAL</v>
      </c>
      <c r="AJ79" s="14">
        <f>VLOOKUP($AI79,$V78:$AD81,9,FALSE)</f>
        <v>6</v>
      </c>
      <c r="AK79" s="14">
        <f>VLOOKUP($AI79,$V78:$AD81,8,FALSE)</f>
        <v>0</v>
      </c>
      <c r="AL79" s="14" t="str">
        <f>IF(AND($AJ78=$AJ79,$AK79&gt;$AK78),$AI78,$AI79)</f>
        <v>PUFAL</v>
      </c>
      <c r="AM79" s="14">
        <f>VLOOKUP($AL79,$V78:$AD81,9,FALSE)</f>
        <v>6</v>
      </c>
      <c r="AN79" s="14">
        <f>VLOOKUP($AL79,$V78:$AD81,8,FALSE)</f>
        <v>0</v>
      </c>
      <c r="AO79" s="14" t="str">
        <f>IF(AND($AM79=$AM81,$AN81&gt;$AN79),$AL81,$AL79)</f>
        <v>PUFAL</v>
      </c>
      <c r="AP79" s="14">
        <f>VLOOKUP($AO79,$V78:$AD81,9,FALSE)</f>
        <v>6</v>
      </c>
      <c r="AQ79" s="14">
        <f>VLOOKUP($AO79,$V78:$AD81,8,FALSE)</f>
        <v>0</v>
      </c>
      <c r="AR79" s="14" t="str">
        <f>IF(AND($AP79=$AP80,$AQ80&gt;$AQ79),$AO80,$AO79)</f>
        <v>PUFAL</v>
      </c>
      <c r="AS79" s="14">
        <f>VLOOKUP($AR79,$V78:$AD81,9,FALSE)</f>
        <v>6</v>
      </c>
      <c r="AT79" s="14">
        <f>VLOOKUP($AR79,$V78:$AD81,8,FALSE)</f>
        <v>0</v>
      </c>
      <c r="AU79" s="14">
        <f>VLOOKUP($AR79,$V78:$AD81,6,FALSE)</f>
        <v>3</v>
      </c>
      <c r="AV79" s="14" t="str">
        <f>IF(AND($AS78=$AS79,$AT78=$AT79,$AU79&gt;$AU78),$AR78,$AR79)</f>
        <v>PUFAL</v>
      </c>
      <c r="AW79" s="14">
        <f>VLOOKUP($AV79,$V78:$AD81,9,FALSE)</f>
        <v>6</v>
      </c>
      <c r="AX79" s="14">
        <f>VLOOKUP($AV79,$V78:$AD81,8,FALSE)</f>
        <v>0</v>
      </c>
      <c r="AY79" s="14">
        <f>VLOOKUP($AV79,$V78:$AD81,6,FALSE)</f>
        <v>3</v>
      </c>
      <c r="AZ79" s="14" t="str">
        <f>IF(AND($AW79=$AW81,$AX79=$AX81,$AY81&gt;$AY79),$AV81,$AV79)</f>
        <v>PUFAL</v>
      </c>
      <c r="BA79" s="14">
        <f>VLOOKUP($AZ79,$V78:$AD81,9,FALSE)</f>
        <v>6</v>
      </c>
      <c r="BB79" s="14">
        <f>VLOOKUP($AZ79,$V78:$AD81,8,FALSE)</f>
        <v>0</v>
      </c>
      <c r="BC79" s="14">
        <f>VLOOKUP($AZ79,$V78:$AD81,6,FALSE)</f>
        <v>3</v>
      </c>
      <c r="BD79" s="14" t="str">
        <f>IF(AND($BA79=$BA80,$BB79=$BB80,$BC80&gt;$BC79),$AZ80,$AZ79)</f>
        <v>PUFAL</v>
      </c>
      <c r="BE79" s="14">
        <f>VLOOKUP($BD79,$V78:$AD81,9,FALSE)</f>
        <v>6</v>
      </c>
      <c r="BF79" s="14">
        <f>VLOOKUP($BD79,$V78:$AD81,8,FALSE)</f>
        <v>0</v>
      </c>
      <c r="BG79" s="14">
        <f>VLOOKUP($BD79,$V78:$AD81,6,FALSE)</f>
        <v>3</v>
      </c>
      <c r="BK79" s="14" t="str">
        <f>BD79</f>
        <v>PUFAL</v>
      </c>
      <c r="BL79" s="14">
        <f>VLOOKUP($BK79,$V78:$AD81,2,FALSE)</f>
        <v>3</v>
      </c>
      <c r="BM79" s="14">
        <f>VLOOKUP($BK79,$V78:$AD81,3,FALSE)</f>
        <v>2</v>
      </c>
      <c r="BN79" s="14">
        <f>VLOOKUP($BK79,$V78:$AD81,4,FALSE)</f>
        <v>1</v>
      </c>
      <c r="BO79" s="14">
        <f>VLOOKUP($BK79,$V78:$AD81,5,FALSE)</f>
        <v>0</v>
      </c>
      <c r="BP79" s="14">
        <f>VLOOKUP($BK79,$V78:$AD81,6,FALSE)</f>
        <v>3</v>
      </c>
      <c r="BQ79" s="14">
        <f>VLOOKUP($BK79,$V78:$AD81,7,FALSE)</f>
        <v>3</v>
      </c>
      <c r="BR79" s="14">
        <f>VLOOKUP($BK79,$V78:$AD81,8,FALSE)</f>
        <v>0</v>
      </c>
      <c r="BS79" s="14">
        <f>VLOOKUP($BK79,$V78:$AD81,9,FALSE)</f>
        <v>6</v>
      </c>
    </row>
    <row r="80" spans="1:71" ht="13.5" customHeight="1" thickBot="1">
      <c r="A80" s="26">
        <v>3</v>
      </c>
      <c r="B80" s="33">
        <v>6</v>
      </c>
      <c r="C80" s="34" t="str">
        <f>'Chaves 1a.Fase'!C4</f>
        <v>ZILBER</v>
      </c>
      <c r="D80" s="88">
        <v>0</v>
      </c>
      <c r="E80" s="87">
        <v>0</v>
      </c>
      <c r="F80" s="35" t="str">
        <f>'Chaves 1a.Fase'!C5</f>
        <v>CAJU</v>
      </c>
      <c r="G80" s="36" t="str">
        <f>'Chaves 1a.Fase'!D14</f>
        <v>CRISTIANO</v>
      </c>
      <c r="H80" s="26"/>
      <c r="I80" s="14" t="str">
        <f t="shared" si="12"/>
        <v>Draw</v>
      </c>
      <c r="J80" s="14" t="str">
        <f t="shared" si="13"/>
        <v>Draw</v>
      </c>
      <c r="L80" s="22"/>
      <c r="M80" s="23" t="s">
        <v>83</v>
      </c>
      <c r="N80" s="23" t="s">
        <v>84</v>
      </c>
      <c r="O80" s="23" t="s">
        <v>85</v>
      </c>
      <c r="P80" s="23" t="s">
        <v>86</v>
      </c>
      <c r="Q80" s="23" t="s">
        <v>87</v>
      </c>
      <c r="R80" s="23" t="s">
        <v>88</v>
      </c>
      <c r="S80" s="23" t="s">
        <v>89</v>
      </c>
      <c r="T80" s="24" t="s">
        <v>90</v>
      </c>
      <c r="V80" s="14" t="str">
        <f>'Chaves 1a.Fase'!C16</f>
        <v>PUFAL</v>
      </c>
      <c r="W80" s="14">
        <f>COUNT(BLUMENAU_JOGOS)</f>
        <v>3</v>
      </c>
      <c r="X80" s="14">
        <f>COUNTIF(Groupstage_Winners,'Chaves 1a.Fase'!C16)</f>
        <v>2</v>
      </c>
      <c r="Y80" s="14">
        <f>COUNTIF(Groupstage_Losers,'Chaves 1a.Fase'!C16)</f>
        <v>1</v>
      </c>
      <c r="Z80" s="14">
        <f>W80-(X80+Y80)</f>
        <v>0</v>
      </c>
      <c r="AA80" s="14">
        <f>SUM(BLUMENAU_JOGOS)</f>
        <v>3</v>
      </c>
      <c r="AB80" s="14">
        <f>SUM(BLUMENAU_ADV)</f>
        <v>3</v>
      </c>
      <c r="AC80" s="14">
        <f>AA80-AB80</f>
        <v>0</v>
      </c>
      <c r="AD80" s="14">
        <f>X80*Winpoints+Z80*Drawpoints</f>
        <v>6</v>
      </c>
      <c r="AE80" s="14" t="str">
        <f>IF($AD80&gt;=$AD81,$V80,$V81)</f>
        <v>PUFAL</v>
      </c>
      <c r="AF80" s="14">
        <f>VLOOKUP($AE80,$V78:$AD81,9,FALSE)</f>
        <v>6</v>
      </c>
      <c r="AG80" s="14" t="str">
        <f>IF($AF80&lt;=$AF78,$AE80,$AE78)</f>
        <v>PUFAL</v>
      </c>
      <c r="AH80" s="14">
        <f>VLOOKUP($AG80,$V78:$AD81,9,FALSE)</f>
        <v>6</v>
      </c>
      <c r="AI80" s="14" t="str">
        <f>IF($AH80&lt;=$AH79,$AG80,$AG79)</f>
        <v>EVERTON</v>
      </c>
      <c r="AJ80" s="14">
        <f>VLOOKUP($AI80,$V78:$AD81,9,FALSE)</f>
        <v>1</v>
      </c>
      <c r="AK80" s="14">
        <f>VLOOKUP($AI80,$V78:$AD81,8,FALSE)</f>
        <v>-3</v>
      </c>
      <c r="AL80" s="14" t="str">
        <f>IF(AND($AJ80=$AJ81,$AK81&gt;$AK80),$AI81,$AI80)</f>
        <v>EVERTON</v>
      </c>
      <c r="AM80" s="14">
        <f>VLOOKUP($AL80,$V78:$AD81,9,FALSE)</f>
        <v>1</v>
      </c>
      <c r="AN80" s="14">
        <f>VLOOKUP($AL80,$V78:$AD81,8,FALSE)</f>
        <v>-3</v>
      </c>
      <c r="AO80" s="14" t="str">
        <f>IF(AND($AM78=$AM80,$AN80&gt;$AN78),$AL78,$AL80)</f>
        <v>EVERTON</v>
      </c>
      <c r="AP80" s="14">
        <f>VLOOKUP($AO80,$V78:$AD81,9,FALSE)</f>
        <v>1</v>
      </c>
      <c r="AQ80" s="14">
        <f>VLOOKUP($AO80,$V78:$AD81,8,FALSE)</f>
        <v>-3</v>
      </c>
      <c r="AR80" s="14" t="str">
        <f>IF(AND($AP79=$AP80,$AQ80&gt;$AQ79),$AO79,$AO80)</f>
        <v>EVERTON</v>
      </c>
      <c r="AS80" s="14">
        <f>VLOOKUP($AR80,$V78:$AD81,9,FALSE)</f>
        <v>1</v>
      </c>
      <c r="AT80" s="14">
        <f>VLOOKUP($AR80,$V78:$AD81,8,FALSE)</f>
        <v>-3</v>
      </c>
      <c r="AU80" s="14">
        <f>VLOOKUP($AR80,$V78:$AD81,6,FALSE)</f>
        <v>1</v>
      </c>
      <c r="AV80" s="14" t="str">
        <f>IF(AND($AS80=$AS81,$AT80=$AT81,$AU81&gt;$AU80),$AR81,$AR80)</f>
        <v>EVERTON</v>
      </c>
      <c r="AW80" s="14">
        <f>VLOOKUP($AV80,$V78:$AD81,9,FALSE)</f>
        <v>1</v>
      </c>
      <c r="AX80" s="14">
        <f>VLOOKUP($AV80,$V78:$AD81,8,FALSE)</f>
        <v>-3</v>
      </c>
      <c r="AY80" s="14">
        <f>VLOOKUP($AV80,$V78:$AD81,6,FALSE)</f>
        <v>1</v>
      </c>
      <c r="AZ80" s="14" t="str">
        <f>IF(AND($AW78=$AW80,$AX78=$AX80,$AY80&gt;$AY78),$AV78,$AV80)</f>
        <v>EVERTON</v>
      </c>
      <c r="BA80" s="14">
        <f>VLOOKUP($AZ80,$V78:$AD81,9,FALSE)</f>
        <v>1</v>
      </c>
      <c r="BB80" s="14">
        <f>VLOOKUP($AZ80,$V78:$AD81,8,FALSE)</f>
        <v>-3</v>
      </c>
      <c r="BC80" s="14">
        <f>VLOOKUP($AZ80,$V78:$AD81,6,FALSE)</f>
        <v>1</v>
      </c>
      <c r="BD80" s="14" t="str">
        <f>IF(AND($BA79=$BA80,$BB79=$BB80,$BC80&gt;$BC79),$AZ79,$AZ80)</f>
        <v>EVERTON</v>
      </c>
      <c r="BE80" s="14">
        <f>VLOOKUP($BD80,$V78:$AD81,9,FALSE)</f>
        <v>1</v>
      </c>
      <c r="BF80" s="14">
        <f>VLOOKUP($BD80,$V78:$AD81,8,FALSE)</f>
        <v>-3</v>
      </c>
      <c r="BG80" s="14">
        <f>VLOOKUP($BD80,$V78:$AD81,6,FALSE)</f>
        <v>1</v>
      </c>
      <c r="BK80" s="14" t="str">
        <f>BD80</f>
        <v>EVERTON</v>
      </c>
      <c r="BL80" s="14">
        <f>VLOOKUP($BK80,$V78:$AD81,2,FALSE)</f>
        <v>3</v>
      </c>
      <c r="BM80" s="14">
        <f>VLOOKUP($BK80,$V78:$AD81,3,FALSE)</f>
        <v>0</v>
      </c>
      <c r="BN80" s="14">
        <f>VLOOKUP($BK80,$V78:$AD81,4,FALSE)</f>
        <v>2</v>
      </c>
      <c r="BO80" s="14">
        <f>VLOOKUP($BK80,$V78:$AD81,5,FALSE)</f>
        <v>1</v>
      </c>
      <c r="BP80" s="14">
        <f>VLOOKUP($BK80,$V78:$AD81,6,FALSE)</f>
        <v>1</v>
      </c>
      <c r="BQ80" s="14">
        <f>VLOOKUP($BK80,$V78:$AD81,7,FALSE)</f>
        <v>4</v>
      </c>
      <c r="BR80" s="14">
        <f>VLOOKUP($BK80,$V78:$AD81,8,FALSE)</f>
        <v>-3</v>
      </c>
      <c r="BS80" s="14">
        <f>VLOOKUP($BK80,$V78:$AD81,9,FALSE)</f>
        <v>1</v>
      </c>
    </row>
    <row r="81" spans="1:71" ht="13.5" customHeight="1" thickBot="1">
      <c r="A81" s="26">
        <v>4</v>
      </c>
      <c r="B81" s="33">
        <v>7</v>
      </c>
      <c r="C81" s="34" t="str">
        <f>'Chaves 1a.Fase'!D2</f>
        <v>LUCIANO</v>
      </c>
      <c r="D81" s="88">
        <v>1</v>
      </c>
      <c r="E81" s="87">
        <v>1</v>
      </c>
      <c r="F81" s="35" t="str">
        <f>'Chaves 1a.Fase'!D3</f>
        <v>EMERSON</v>
      </c>
      <c r="G81" s="36" t="str">
        <f>'Chaves 1a.Fase'!C15</f>
        <v>EVERTON</v>
      </c>
      <c r="H81" s="26"/>
      <c r="I81" s="14" t="str">
        <f t="shared" si="12"/>
        <v>Draw</v>
      </c>
      <c r="J81" s="14" t="str">
        <f t="shared" si="13"/>
        <v>Draw</v>
      </c>
      <c r="L81" s="25" t="str">
        <f aca="true" t="shared" si="15" ref="L81:T84">BK85</f>
        <v>VINHAS</v>
      </c>
      <c r="M81" s="26">
        <f t="shared" si="15"/>
        <v>3</v>
      </c>
      <c r="N81" s="26">
        <f t="shared" si="15"/>
        <v>1</v>
      </c>
      <c r="O81" s="26">
        <f t="shared" si="15"/>
        <v>0</v>
      </c>
      <c r="P81" s="26">
        <f t="shared" si="15"/>
        <v>2</v>
      </c>
      <c r="Q81" s="26">
        <f t="shared" si="15"/>
        <v>2</v>
      </c>
      <c r="R81" s="26">
        <f t="shared" si="15"/>
        <v>0</v>
      </c>
      <c r="S81" s="26">
        <f t="shared" si="15"/>
        <v>2</v>
      </c>
      <c r="T81" s="27">
        <f t="shared" si="15"/>
        <v>5</v>
      </c>
      <c r="V81" s="14" t="str">
        <f>'Chaves 1a.Fase'!C17</f>
        <v>ROGÉRIO FEIJÓ</v>
      </c>
      <c r="W81" s="14">
        <f>COUNT(LUSA_JOGOS)</f>
        <v>3</v>
      </c>
      <c r="X81" s="14">
        <f>COUNTIF(Groupstage_Winners,'Chaves 1a.Fase'!C17)</f>
        <v>0</v>
      </c>
      <c r="Y81" s="14">
        <f>COUNTIF(Groupstage_Losers,'Chaves 1a.Fase'!C17)</f>
        <v>2</v>
      </c>
      <c r="Z81" s="14">
        <f>W81-(X81+Y81)</f>
        <v>1</v>
      </c>
      <c r="AA81" s="14">
        <f>SUM(LUSA_JOGOS)</f>
        <v>0</v>
      </c>
      <c r="AB81" s="14">
        <f>SUM(LUSA_ADV)</f>
        <v>3</v>
      </c>
      <c r="AC81" s="14">
        <f>AA81-AB81</f>
        <v>-3</v>
      </c>
      <c r="AD81" s="14">
        <f>X81*Winpoints+Z81*Drawpoints</f>
        <v>1</v>
      </c>
      <c r="AE81" s="14" t="str">
        <f>IF($AD81&lt;=$AD80,$V81,$V80)</f>
        <v>ROGÉRIO FEIJÓ</v>
      </c>
      <c r="AF81" s="14">
        <f>VLOOKUP($AE81,$V78:$AD81,9,FALSE)</f>
        <v>1</v>
      </c>
      <c r="AG81" s="14" t="str">
        <f>IF(AF81&lt;=AF79,AE81,AE79)</f>
        <v>ROGÉRIO FEIJÓ</v>
      </c>
      <c r="AH81" s="14">
        <f>VLOOKUP($AG81,$V78:$AD81,9,FALSE)</f>
        <v>1</v>
      </c>
      <c r="AI81" s="14" t="str">
        <f>IF($AH81&lt;=$AH78,$AG81,$AG78)</f>
        <v>ROGÉRIO FEIJÓ</v>
      </c>
      <c r="AJ81" s="14">
        <f>VLOOKUP($AI81,$V78:$AD81,9,FALSE)</f>
        <v>1</v>
      </c>
      <c r="AK81" s="14">
        <f>VLOOKUP($AI81,$V78:$AD81,8,FALSE)</f>
        <v>-3</v>
      </c>
      <c r="AL81" s="14" t="str">
        <f>IF(AND($AJ80=$AJ81,$AK81&gt;$AK80),$AI80,$AI81)</f>
        <v>ROGÉRIO FEIJÓ</v>
      </c>
      <c r="AM81" s="14">
        <f>VLOOKUP($AL81,$V78:$AD81,9,FALSE)</f>
        <v>1</v>
      </c>
      <c r="AN81" s="14">
        <f>VLOOKUP($AL81,$V78:$AD81,8,FALSE)</f>
        <v>-3</v>
      </c>
      <c r="AO81" s="14" t="str">
        <f>IF(AND($AM79=$AM81,$AN81&gt;$AN79),$AL79,$AL81)</f>
        <v>ROGÉRIO FEIJÓ</v>
      </c>
      <c r="AP81" s="14">
        <f>VLOOKUP($AO81,$V78:$AD81,9,FALSE)</f>
        <v>1</v>
      </c>
      <c r="AQ81" s="14">
        <f>VLOOKUP($AO81,$V78:$AD81,8,FALSE)</f>
        <v>-3</v>
      </c>
      <c r="AR81" s="14" t="str">
        <f>IF(AND($AP78=$AP81,$AQ81&gt;$AQ78),$AO78,$AO81)</f>
        <v>ROGÉRIO FEIJÓ</v>
      </c>
      <c r="AS81" s="14">
        <f>VLOOKUP($AR81,$V78:$AD81,9,FALSE)</f>
        <v>1</v>
      </c>
      <c r="AT81" s="14">
        <f>VLOOKUP($AR81,$V78:$AD81,8,FALSE)</f>
        <v>-3</v>
      </c>
      <c r="AU81" s="14">
        <f>VLOOKUP($AR81,$V78:$AD81,6,FALSE)</f>
        <v>0</v>
      </c>
      <c r="AV81" s="14" t="str">
        <f>IF(AND($AS80=$AS81,$AT80=$AT81,$AU81&gt;$AU80),$AR80,$AR81)</f>
        <v>ROGÉRIO FEIJÓ</v>
      </c>
      <c r="AW81" s="14">
        <f>VLOOKUP($AV81,$V78:$AD81,9,FALSE)</f>
        <v>1</v>
      </c>
      <c r="AX81" s="14">
        <f>VLOOKUP($AV81,$V78:$AD81,8,FALSE)</f>
        <v>-3</v>
      </c>
      <c r="AY81" s="14">
        <f>VLOOKUP($AV81,$V78:$AD81,6,FALSE)</f>
        <v>0</v>
      </c>
      <c r="AZ81" s="14" t="str">
        <f>IF(AND($AW79=$AW81,$AX79=$AX81,$AY81&gt;$AY79),$AV79,$AV81)</f>
        <v>ROGÉRIO FEIJÓ</v>
      </c>
      <c r="BA81" s="14">
        <f>VLOOKUP($AZ81,$V78:$AD81,9,FALSE)</f>
        <v>1</v>
      </c>
      <c r="BB81" s="14">
        <f>VLOOKUP($AZ81,$V78:$AD81,8,FALSE)</f>
        <v>-3</v>
      </c>
      <c r="BC81" s="14">
        <f>VLOOKUP($AZ81,$V78:$AD81,6,FALSE)</f>
        <v>0</v>
      </c>
      <c r="BD81" s="14" t="str">
        <f>IF(AND($BA78=$BA81,$BB78=$BB81,$BC81&gt;$BC78),$AZ78,$AZ81)</f>
        <v>ROGÉRIO FEIJÓ</v>
      </c>
      <c r="BE81" s="14">
        <f>VLOOKUP($BD81,$V78:$AD81,9,FALSE)</f>
        <v>1</v>
      </c>
      <c r="BF81" s="14">
        <f>VLOOKUP($BD81,$V78:$AD81,8,FALSE)</f>
        <v>-3</v>
      </c>
      <c r="BG81" s="14">
        <f>VLOOKUP($BD81,$V78:$AD81,6,FALSE)</f>
        <v>0</v>
      </c>
      <c r="BK81" s="14" t="str">
        <f>BD81</f>
        <v>ROGÉRIO FEIJÓ</v>
      </c>
      <c r="BL81" s="14">
        <f>VLOOKUP($BK81,$V78:$AD81,2,FALSE)</f>
        <v>3</v>
      </c>
      <c r="BM81" s="14">
        <f>VLOOKUP($BK81,$V78:$AD81,3,FALSE)</f>
        <v>0</v>
      </c>
      <c r="BN81" s="14">
        <f>VLOOKUP($BK81,$V78:$AD81,4,FALSE)</f>
        <v>2</v>
      </c>
      <c r="BO81" s="14">
        <f>VLOOKUP($BK81,$V78:$AD81,5,FALSE)</f>
        <v>1</v>
      </c>
      <c r="BP81" s="14">
        <f>VLOOKUP($BK81,$V78:$AD81,6,FALSE)</f>
        <v>0</v>
      </c>
      <c r="BQ81" s="14">
        <f>VLOOKUP($BK81,$V78:$AD81,7,FALSE)</f>
        <v>3</v>
      </c>
      <c r="BR81" s="14">
        <f>VLOOKUP($BK81,$V78:$AD81,8,FALSE)</f>
        <v>-3</v>
      </c>
      <c r="BS81" s="14">
        <f>VLOOKUP($BK81,$V78:$AD81,9,FALSE)</f>
        <v>1</v>
      </c>
    </row>
    <row r="82" spans="1:20" ht="13.5" customHeight="1" thickBot="1">
      <c r="A82" s="26">
        <v>4</v>
      </c>
      <c r="B82" s="33">
        <v>8</v>
      </c>
      <c r="C82" s="34" t="str">
        <f>'Chaves 1a.Fase'!D4</f>
        <v>PAIM</v>
      </c>
      <c r="D82" s="88">
        <v>1</v>
      </c>
      <c r="E82" s="87">
        <v>0</v>
      </c>
      <c r="F82" s="35" t="str">
        <f>'Chaves 1a.Fase'!D5</f>
        <v>JULIO</v>
      </c>
      <c r="G82" s="36" t="str">
        <f>'Chaves 1a.Fase'!D15</f>
        <v>VINHAS</v>
      </c>
      <c r="H82" s="26"/>
      <c r="I82" s="14" t="str">
        <f t="shared" si="12"/>
        <v>PAIM</v>
      </c>
      <c r="J82" s="14" t="str">
        <f t="shared" si="13"/>
        <v>JULIO</v>
      </c>
      <c r="L82" s="25" t="str">
        <f t="shared" si="15"/>
        <v>DUDA</v>
      </c>
      <c r="M82" s="26">
        <f t="shared" si="15"/>
        <v>3</v>
      </c>
      <c r="N82" s="26">
        <f t="shared" si="15"/>
        <v>1</v>
      </c>
      <c r="O82" s="26">
        <f t="shared" si="15"/>
        <v>0</v>
      </c>
      <c r="P82" s="26">
        <f t="shared" si="15"/>
        <v>2</v>
      </c>
      <c r="Q82" s="26">
        <f t="shared" si="15"/>
        <v>2</v>
      </c>
      <c r="R82" s="26">
        <f t="shared" si="15"/>
        <v>0</v>
      </c>
      <c r="S82" s="26">
        <f t="shared" si="15"/>
        <v>2</v>
      </c>
      <c r="T82" s="27">
        <f t="shared" si="15"/>
        <v>5</v>
      </c>
    </row>
    <row r="83" spans="1:22" ht="13.5" customHeight="1" thickBot="1">
      <c r="A83" s="26">
        <v>5</v>
      </c>
      <c r="B83" s="33">
        <v>9</v>
      </c>
      <c r="C83" s="34" t="str">
        <f>'Chaves 1a.Fase'!A8</f>
        <v>MARCOS JUNQ.</v>
      </c>
      <c r="D83" s="88">
        <v>0</v>
      </c>
      <c r="E83" s="87">
        <v>0</v>
      </c>
      <c r="F83" s="35" t="str">
        <f>'Chaves 1a.Fase'!A9</f>
        <v>MICHEL</v>
      </c>
      <c r="G83" s="36" t="str">
        <f>'Chaves 1a.Fase'!A20</f>
        <v>JORGITO</v>
      </c>
      <c r="H83" s="26"/>
      <c r="I83" s="14" t="str">
        <f t="shared" si="12"/>
        <v>Draw</v>
      </c>
      <c r="J83" s="14" t="str">
        <f t="shared" si="13"/>
        <v>Draw</v>
      </c>
      <c r="L83" s="25" t="str">
        <f t="shared" si="15"/>
        <v>CRISTIANO</v>
      </c>
      <c r="M83" s="26">
        <f t="shared" si="15"/>
        <v>3</v>
      </c>
      <c r="N83" s="26">
        <f t="shared" si="15"/>
        <v>0</v>
      </c>
      <c r="O83" s="26">
        <f t="shared" si="15"/>
        <v>1</v>
      </c>
      <c r="P83" s="26">
        <f t="shared" si="15"/>
        <v>2</v>
      </c>
      <c r="Q83" s="26">
        <f t="shared" si="15"/>
        <v>0</v>
      </c>
      <c r="R83" s="26">
        <f t="shared" si="15"/>
        <v>2</v>
      </c>
      <c r="S83" s="26">
        <f t="shared" si="15"/>
        <v>-2</v>
      </c>
      <c r="T83" s="27">
        <f t="shared" si="15"/>
        <v>2</v>
      </c>
      <c r="V83" s="14" t="s">
        <v>130</v>
      </c>
    </row>
    <row r="84" spans="1:30" ht="13.5" customHeight="1" thickBot="1">
      <c r="A84" s="40">
        <v>5</v>
      </c>
      <c r="B84" s="41">
        <v>10</v>
      </c>
      <c r="C84" s="42" t="str">
        <f>'Chaves 1a.Fase'!A10</f>
        <v>DIOGO MALLET</v>
      </c>
      <c r="D84" s="89">
        <v>2</v>
      </c>
      <c r="E84" s="89">
        <v>0</v>
      </c>
      <c r="F84" s="43" t="str">
        <f>'Chaves 1a.Fase'!A11</f>
        <v>UMBERTO</v>
      </c>
      <c r="G84" s="43" t="str">
        <f>'Chaves 1a.Fase'!B20</f>
        <v>TERROZO</v>
      </c>
      <c r="H84" s="40"/>
      <c r="I84" s="14" t="str">
        <f t="shared" si="12"/>
        <v>DIOGO MALLET</v>
      </c>
      <c r="J84" s="14" t="str">
        <f t="shared" si="13"/>
        <v>UMBERTO</v>
      </c>
      <c r="L84" s="37" t="str">
        <f t="shared" si="15"/>
        <v>LEANDRO</v>
      </c>
      <c r="M84" s="38">
        <f t="shared" si="15"/>
        <v>3</v>
      </c>
      <c r="N84" s="38">
        <f t="shared" si="15"/>
        <v>0</v>
      </c>
      <c r="O84" s="38">
        <f t="shared" si="15"/>
        <v>1</v>
      </c>
      <c r="P84" s="38">
        <f t="shared" si="15"/>
        <v>2</v>
      </c>
      <c r="Q84" s="38">
        <f t="shared" si="15"/>
        <v>0</v>
      </c>
      <c r="R84" s="38">
        <f t="shared" si="15"/>
        <v>2</v>
      </c>
      <c r="S84" s="38">
        <f t="shared" si="15"/>
        <v>-2</v>
      </c>
      <c r="T84" s="39">
        <f t="shared" si="15"/>
        <v>2</v>
      </c>
      <c r="W84" s="14" t="s">
        <v>107</v>
      </c>
      <c r="X84" s="14" t="s">
        <v>108</v>
      </c>
      <c r="Y84" s="14" t="s">
        <v>109</v>
      </c>
      <c r="Z84" s="14" t="s">
        <v>85</v>
      </c>
      <c r="AA84" s="14" t="s">
        <v>110</v>
      </c>
      <c r="AB84" s="14" t="s">
        <v>111</v>
      </c>
      <c r="AC84" s="14" t="s">
        <v>112</v>
      </c>
      <c r="AD84" s="14" t="s">
        <v>113</v>
      </c>
    </row>
    <row r="85" spans="1:71" ht="13.5" customHeight="1" thickBot="1">
      <c r="A85" s="26">
        <v>6</v>
      </c>
      <c r="B85" s="33">
        <v>11</v>
      </c>
      <c r="C85" s="34" t="str">
        <f>'Chaves 1a.Fase'!B8</f>
        <v>FERNANDO</v>
      </c>
      <c r="D85" s="88">
        <v>1</v>
      </c>
      <c r="E85" s="87">
        <v>0</v>
      </c>
      <c r="F85" s="35" t="str">
        <f>'Chaves 1a.Fase'!B9</f>
        <v>AUGUSTO</v>
      </c>
      <c r="G85" s="36" t="str">
        <f>'Chaves 1a.Fase'!A21</f>
        <v>EDISON</v>
      </c>
      <c r="H85" s="26"/>
      <c r="I85" s="14" t="str">
        <f t="shared" si="12"/>
        <v>FERNANDO</v>
      </c>
      <c r="J85" s="14" t="str">
        <f t="shared" si="13"/>
        <v>AUGUSTO</v>
      </c>
      <c r="V85" s="14" t="str">
        <f>'Chaves 1a.Fase'!D14</f>
        <v>CRISTIANO</v>
      </c>
      <c r="W85" s="14">
        <f>COUNT(CAXIAS_JOGOS)</f>
        <v>3</v>
      </c>
      <c r="X85" s="14">
        <f>COUNTIF(Groupstage_Winners,'Chaves 1a.Fase'!D14)</f>
        <v>0</v>
      </c>
      <c r="Y85" s="14">
        <f>COUNTIF(Groupstage_Losers,'Chaves 1a.Fase'!D14)</f>
        <v>1</v>
      </c>
      <c r="Z85" s="14">
        <f>W85-(X85+Y85)</f>
        <v>2</v>
      </c>
      <c r="AA85" s="14">
        <f>SUM(CAXIAS_JOGOS)</f>
        <v>0</v>
      </c>
      <c r="AB85" s="14">
        <f>SUM(CAXIAS_ADV)</f>
        <v>2</v>
      </c>
      <c r="AC85" s="14">
        <f>AA85-AB85</f>
        <v>-2</v>
      </c>
      <c r="AD85" s="14">
        <f>X85*Winpoints+Z85*Drawpoints</f>
        <v>2</v>
      </c>
      <c r="AE85" s="14" t="str">
        <f>IF($AD85&gt;=$AD86,$V85,$V86)</f>
        <v>VINHAS</v>
      </c>
      <c r="AF85" s="14">
        <f>VLOOKUP($AE85,$V85:$AD88,9,FALSE)</f>
        <v>5</v>
      </c>
      <c r="AG85" s="14" t="str">
        <f>IF($AF85&gt;=$AF87,$AE85,$AE87)</f>
        <v>VINHAS</v>
      </c>
      <c r="AH85" s="14">
        <f>VLOOKUP($AG85,$V85:$AD88,9,FALSE)</f>
        <v>5</v>
      </c>
      <c r="AI85" s="14" t="str">
        <f>IF($AH85&gt;=$AH88,$AG85,$AG88)</f>
        <v>VINHAS</v>
      </c>
      <c r="AJ85" s="14">
        <f>VLOOKUP($AI85,$V85:$AD88,9,FALSE)</f>
        <v>5</v>
      </c>
      <c r="AK85" s="14">
        <f>VLOOKUP($AI85,$V85:$AD88,8,FALSE)</f>
        <v>2</v>
      </c>
      <c r="AL85" s="14" t="str">
        <f>IF(AND($AJ85=$AJ86,$AK86&gt;$AK85),$AI86,$AI85)</f>
        <v>VINHAS</v>
      </c>
      <c r="AM85" s="14">
        <f>VLOOKUP($AL85,$V85:$AD88,9,FALSE)</f>
        <v>5</v>
      </c>
      <c r="AN85" s="14">
        <f>VLOOKUP($AL85,$V85:$AD88,8,FALSE)</f>
        <v>2</v>
      </c>
      <c r="AO85" s="14" t="str">
        <f>IF(AND($AM85=$AM87,$AN87&gt;$AN85),$AL87,$AL85)</f>
        <v>VINHAS</v>
      </c>
      <c r="AP85" s="14">
        <f>VLOOKUP($AO85,$V85:$AD88,9,FALSE)</f>
        <v>5</v>
      </c>
      <c r="AQ85" s="14">
        <f>VLOOKUP($AO85,$V85:$AD88,8,FALSE)</f>
        <v>2</v>
      </c>
      <c r="AR85" s="14" t="str">
        <f>IF(AND($AP85=$AP88,$AQ88&gt;$AQ85),$AO88,$AO85)</f>
        <v>VINHAS</v>
      </c>
      <c r="AS85" s="14">
        <f>VLOOKUP($AR85,$V85:$AD88,9,FALSE)</f>
        <v>5</v>
      </c>
      <c r="AT85" s="14">
        <f>VLOOKUP($AR85,$V85:$AD88,8,FALSE)</f>
        <v>2</v>
      </c>
      <c r="AU85" s="14">
        <f>VLOOKUP($AR85,$V85:$AD88,6,FALSE)</f>
        <v>2</v>
      </c>
      <c r="AV85" s="14" t="str">
        <f>IF(AND($AS85=$AS86,$AT85=$AT86,$AU86&gt;$AU85),$AR86,$AR85)</f>
        <v>VINHAS</v>
      </c>
      <c r="AW85" s="14">
        <f>VLOOKUP($AV85,$V85:$AD88,9,FALSE)</f>
        <v>5</v>
      </c>
      <c r="AX85" s="14">
        <f>VLOOKUP($AV85,$V85:$AD88,8,FALSE)</f>
        <v>2</v>
      </c>
      <c r="AY85" s="14">
        <f>VLOOKUP($AV85,$V85:$AD88,6,FALSE)</f>
        <v>2</v>
      </c>
      <c r="AZ85" s="14" t="str">
        <f>IF(AND($AW85=$AW87,$AX85=$AX87,$AY87&gt;$AY85),$AV87,$AV85)</f>
        <v>VINHAS</v>
      </c>
      <c r="BA85" s="14">
        <f>VLOOKUP($AZ85,$V85:$AD88,9,FALSE)</f>
        <v>5</v>
      </c>
      <c r="BB85" s="14">
        <f>VLOOKUP($AZ85,$V85:$AD88,8,FALSE)</f>
        <v>2</v>
      </c>
      <c r="BC85" s="14">
        <f>VLOOKUP($AZ85,$V85:$AD88,6,FALSE)</f>
        <v>2</v>
      </c>
      <c r="BD85" s="14" t="str">
        <f>IF(AND($BA85=$BA88,$BB85=$BB88,$BC88&gt;$BC85),$AZ88,$AZ85)</f>
        <v>VINHAS</v>
      </c>
      <c r="BE85" s="14">
        <f>VLOOKUP($BD85,$V85:$AD88,9,FALSE)</f>
        <v>5</v>
      </c>
      <c r="BF85" s="14">
        <f>VLOOKUP($BD85,$V85:$AD88,8,FALSE)</f>
        <v>2</v>
      </c>
      <c r="BG85" s="14">
        <f>VLOOKUP($BD85,$V85:$AD88,6,FALSE)</f>
        <v>2</v>
      </c>
      <c r="BK85" s="14" t="str">
        <f>BD85</f>
        <v>VINHAS</v>
      </c>
      <c r="BL85" s="14">
        <f>VLOOKUP($BK85,$V85:$AD88,2,FALSE)</f>
        <v>3</v>
      </c>
      <c r="BM85" s="14">
        <f>VLOOKUP($BK85,$V85:$AD88,3,FALSE)</f>
        <v>1</v>
      </c>
      <c r="BN85" s="14">
        <f>VLOOKUP($BK85,$V85:$AD88,4,FALSE)</f>
        <v>0</v>
      </c>
      <c r="BO85" s="14">
        <f>VLOOKUP($BK85,$V85:$AD88,5,FALSE)</f>
        <v>2</v>
      </c>
      <c r="BP85" s="14">
        <f>VLOOKUP($BK85,$V85:$AD88,6,FALSE)</f>
        <v>2</v>
      </c>
      <c r="BQ85" s="14">
        <f>VLOOKUP($BK85,$V85:$AD88,7,FALSE)</f>
        <v>0</v>
      </c>
      <c r="BR85" s="14">
        <f>VLOOKUP($BK85,$V85:$AD88,8,FALSE)</f>
        <v>2</v>
      </c>
      <c r="BS85" s="14">
        <f>VLOOKUP($BK85,$V85:$AD88,9,FALSE)</f>
        <v>5</v>
      </c>
    </row>
    <row r="86" spans="1:71" ht="13.5" customHeight="1" thickBot="1">
      <c r="A86" s="26">
        <v>6</v>
      </c>
      <c r="B86" s="33">
        <v>12</v>
      </c>
      <c r="C86" s="34" t="str">
        <f>'Chaves 1a.Fase'!B10</f>
        <v>SILVIO</v>
      </c>
      <c r="D86" s="88">
        <v>0</v>
      </c>
      <c r="E86" s="87">
        <v>0</v>
      </c>
      <c r="F86" s="35" t="str">
        <f>'Chaves 1a.Fase'!B11</f>
        <v>NILMAR</v>
      </c>
      <c r="G86" s="36" t="str">
        <f>'Chaves 1a.Fase'!B21</f>
        <v>BRANDÃO</v>
      </c>
      <c r="H86" s="26"/>
      <c r="I86" s="14" t="str">
        <f t="shared" si="12"/>
        <v>Draw</v>
      </c>
      <c r="J86" s="14" t="str">
        <f t="shared" si="13"/>
        <v>Draw</v>
      </c>
      <c r="L86" s="19" t="s">
        <v>60</v>
      </c>
      <c r="M86" s="20"/>
      <c r="N86" s="20"/>
      <c r="O86" s="20"/>
      <c r="P86" s="20"/>
      <c r="Q86" s="20"/>
      <c r="R86" s="20"/>
      <c r="S86" s="20"/>
      <c r="T86" s="21"/>
      <c r="V86" s="14" t="str">
        <f>'Chaves 1a.Fase'!D15</f>
        <v>VINHAS</v>
      </c>
      <c r="W86" s="14">
        <f>COUNT(PARANA_JOGOS)</f>
        <v>3</v>
      </c>
      <c r="X86" s="14">
        <f>COUNTIF(Groupstage_Winners,'Chaves 1a.Fase'!D15)</f>
        <v>1</v>
      </c>
      <c r="Y86" s="14">
        <f>COUNTIF(Groupstage_Losers,'Chaves 1a.Fase'!D15)</f>
        <v>0</v>
      </c>
      <c r="Z86" s="14">
        <f>W86-(X86+Y86)</f>
        <v>2</v>
      </c>
      <c r="AA86" s="14">
        <f>SUM(PARANA_JOGOS)</f>
        <v>2</v>
      </c>
      <c r="AB86" s="14">
        <f>SUM(PARANA_ADV)</f>
        <v>0</v>
      </c>
      <c r="AC86" s="14">
        <f>AA86-AB86</f>
        <v>2</v>
      </c>
      <c r="AD86" s="14">
        <f>X86*Winpoints+Z86*Drawpoints</f>
        <v>5</v>
      </c>
      <c r="AE86" s="14" t="str">
        <f>IF($AD86&lt;=$AD85,$V86,$V85)</f>
        <v>CRISTIANO</v>
      </c>
      <c r="AF86" s="14">
        <f>VLOOKUP($AE86,$V85:$AD88,9,FALSE)</f>
        <v>2</v>
      </c>
      <c r="AG86" s="14" t="str">
        <f>IF(AF86&gt;=AF88,AE86,AE88)</f>
        <v>CRISTIANO</v>
      </c>
      <c r="AH86" s="14">
        <f>VLOOKUP($AG86,$V85:$AD88,9,FALSE)</f>
        <v>2</v>
      </c>
      <c r="AI86" s="14" t="str">
        <f>IF($AH86&gt;=$AH87,$AG86,$AG87)</f>
        <v>DUDA</v>
      </c>
      <c r="AJ86" s="14">
        <f>VLOOKUP($AI86,$V85:$AD88,9,FALSE)</f>
        <v>5</v>
      </c>
      <c r="AK86" s="14">
        <f>VLOOKUP($AI86,$V85:$AD88,8,FALSE)</f>
        <v>2</v>
      </c>
      <c r="AL86" s="14" t="str">
        <f>IF(AND($AJ85=$AJ86,$AK86&gt;$AK85),$AI85,$AI86)</f>
        <v>DUDA</v>
      </c>
      <c r="AM86" s="14">
        <f>VLOOKUP($AL86,$V85:$AD88,9,FALSE)</f>
        <v>5</v>
      </c>
      <c r="AN86" s="14">
        <f>VLOOKUP($AL86,$V85:$AD88,8,FALSE)</f>
        <v>2</v>
      </c>
      <c r="AO86" s="14" t="str">
        <f>IF(AND($AM86=$AM88,$AN88&gt;$AN86),$AL88,$AL86)</f>
        <v>DUDA</v>
      </c>
      <c r="AP86" s="14">
        <f>VLOOKUP($AO86,$V85:$AD88,9,FALSE)</f>
        <v>5</v>
      </c>
      <c r="AQ86" s="14">
        <f>VLOOKUP($AO86,$V85:$AD88,8,FALSE)</f>
        <v>2</v>
      </c>
      <c r="AR86" s="14" t="str">
        <f>IF(AND($AP86=$AP87,$AQ87&gt;$AQ86),$AO87,$AO86)</f>
        <v>DUDA</v>
      </c>
      <c r="AS86" s="14">
        <f>VLOOKUP($AR86,$V85:$AD88,9,FALSE)</f>
        <v>5</v>
      </c>
      <c r="AT86" s="14">
        <f>VLOOKUP($AR86,$V85:$AD88,8,FALSE)</f>
        <v>2</v>
      </c>
      <c r="AU86" s="14">
        <f>VLOOKUP($AR86,$V85:$AD88,6,FALSE)</f>
        <v>2</v>
      </c>
      <c r="AV86" s="14" t="str">
        <f>IF(AND($AS85=$AS86,$AT85=$AT86,$AU86&gt;$AU85),$AR85,$AR86)</f>
        <v>DUDA</v>
      </c>
      <c r="AW86" s="14">
        <f>VLOOKUP($AV86,$V85:$AD88,9,FALSE)</f>
        <v>5</v>
      </c>
      <c r="AX86" s="14">
        <f>VLOOKUP($AV86,$V85:$AD88,8,FALSE)</f>
        <v>2</v>
      </c>
      <c r="AY86" s="14">
        <f>VLOOKUP($AV86,$V85:$AD88,6,FALSE)</f>
        <v>2</v>
      </c>
      <c r="AZ86" s="14" t="str">
        <f>IF(AND($AW86=$AW88,$AX86=$AX88,$AY88&gt;$AY86),$AV88,$AV86)</f>
        <v>DUDA</v>
      </c>
      <c r="BA86" s="14">
        <f>VLOOKUP($AZ86,$V85:$AD88,9,FALSE)</f>
        <v>5</v>
      </c>
      <c r="BB86" s="14">
        <f>VLOOKUP($AZ86,$V85:$AD88,8,FALSE)</f>
        <v>2</v>
      </c>
      <c r="BC86" s="14">
        <f>VLOOKUP($AZ86,$V85:$AD88,6,FALSE)</f>
        <v>2</v>
      </c>
      <c r="BD86" s="14" t="str">
        <f>IF(AND($BA86=$BA87,$BB86=$BB87,$BC87&gt;$BC86),$AZ87,$AZ86)</f>
        <v>DUDA</v>
      </c>
      <c r="BE86" s="14">
        <f>VLOOKUP($BD86,$V85:$AD88,9,FALSE)</f>
        <v>5</v>
      </c>
      <c r="BF86" s="14">
        <f>VLOOKUP($BD86,$V85:$AD88,8,FALSE)</f>
        <v>2</v>
      </c>
      <c r="BG86" s="14">
        <f>VLOOKUP($BD86,$V85:$AD88,6,FALSE)</f>
        <v>2</v>
      </c>
      <c r="BK86" s="14" t="str">
        <f>BD86</f>
        <v>DUDA</v>
      </c>
      <c r="BL86" s="14">
        <f>VLOOKUP($BK86,$V85:$AD88,2,FALSE)</f>
        <v>3</v>
      </c>
      <c r="BM86" s="14">
        <f>VLOOKUP($BK86,$V85:$AD88,3,FALSE)</f>
        <v>1</v>
      </c>
      <c r="BN86" s="14">
        <f>VLOOKUP($BK86,$V85:$AD88,4,FALSE)</f>
        <v>0</v>
      </c>
      <c r="BO86" s="14">
        <f>VLOOKUP($BK86,$V85:$AD88,5,FALSE)</f>
        <v>2</v>
      </c>
      <c r="BP86" s="14">
        <f>VLOOKUP($BK86,$V85:$AD88,6,FALSE)</f>
        <v>2</v>
      </c>
      <c r="BQ86" s="14">
        <f>VLOOKUP($BK86,$V85:$AD88,7,FALSE)</f>
        <v>0</v>
      </c>
      <c r="BR86" s="14">
        <f>VLOOKUP($BK86,$V85:$AD88,8,FALSE)</f>
        <v>2</v>
      </c>
      <c r="BS86" s="14">
        <f>VLOOKUP($BK86,$V85:$AD88,9,FALSE)</f>
        <v>5</v>
      </c>
    </row>
    <row r="87" spans="1:71" ht="13.5" customHeight="1" thickBot="1">
      <c r="A87" s="26">
        <v>7</v>
      </c>
      <c r="B87" s="33">
        <v>13</v>
      </c>
      <c r="C87" s="34" t="str">
        <f>'Chaves 1a.Fase'!C8</f>
        <v>MARQUINHO</v>
      </c>
      <c r="D87" s="88">
        <v>2</v>
      </c>
      <c r="E87" s="87">
        <v>0</v>
      </c>
      <c r="F87" s="35" t="str">
        <f>'Chaves 1a.Fase'!C9</f>
        <v>SINVAL</v>
      </c>
      <c r="G87" s="36" t="str">
        <f>'Chaves 1a.Fase'!C20</f>
        <v>THIAGO SCH.</v>
      </c>
      <c r="H87" s="26"/>
      <c r="I87" s="14" t="str">
        <f t="shared" si="12"/>
        <v>MARQUINHO</v>
      </c>
      <c r="J87" s="14" t="str">
        <f t="shared" si="13"/>
        <v>SINVAL</v>
      </c>
      <c r="L87" s="22"/>
      <c r="M87" s="23" t="s">
        <v>83</v>
      </c>
      <c r="N87" s="23" t="s">
        <v>84</v>
      </c>
      <c r="O87" s="23" t="s">
        <v>85</v>
      </c>
      <c r="P87" s="23" t="s">
        <v>86</v>
      </c>
      <c r="Q87" s="23" t="s">
        <v>87</v>
      </c>
      <c r="R87" s="23" t="s">
        <v>88</v>
      </c>
      <c r="S87" s="23" t="s">
        <v>89</v>
      </c>
      <c r="T87" s="24" t="s">
        <v>90</v>
      </c>
      <c r="V87" s="14" t="str">
        <f>'Chaves 1a.Fase'!D16</f>
        <v>LEANDRO</v>
      </c>
      <c r="W87" s="14">
        <f>COUNT(MARINGA_JOGOS)</f>
        <v>3</v>
      </c>
      <c r="X87" s="14">
        <f>COUNTIF(Groupstage_Winners,'Chaves 1a.Fase'!D16)</f>
        <v>0</v>
      </c>
      <c r="Y87" s="14">
        <f>COUNTIF(Groupstage_Losers,'Chaves 1a.Fase'!D16)</f>
        <v>1</v>
      </c>
      <c r="Z87" s="14">
        <f>W87-(X87+Y87)</f>
        <v>2</v>
      </c>
      <c r="AA87" s="14">
        <f>SUM(MARINGA_JOGOS)</f>
        <v>0</v>
      </c>
      <c r="AB87" s="14">
        <f>SUM(MARINGA_ADV)</f>
        <v>2</v>
      </c>
      <c r="AC87" s="14">
        <f>AA87-AB87</f>
        <v>-2</v>
      </c>
      <c r="AD87" s="14">
        <f>X87*Winpoints+Z87*Drawpoints</f>
        <v>2</v>
      </c>
      <c r="AE87" s="14" t="str">
        <f>IF($AD87&gt;=$AD88,$V87,$V88)</f>
        <v>DUDA</v>
      </c>
      <c r="AF87" s="14">
        <f>VLOOKUP($AE87,$V85:$AD88,9,FALSE)</f>
        <v>5</v>
      </c>
      <c r="AG87" s="14" t="str">
        <f>IF($AF87&lt;=$AF85,$AE87,$AE85)</f>
        <v>DUDA</v>
      </c>
      <c r="AH87" s="14">
        <f>VLOOKUP($AG87,$V85:$AD88,9,FALSE)</f>
        <v>5</v>
      </c>
      <c r="AI87" s="14" t="str">
        <f>IF($AH87&lt;=$AH86,$AG87,$AG86)</f>
        <v>CRISTIANO</v>
      </c>
      <c r="AJ87" s="14">
        <f>VLOOKUP($AI87,$V85:$AD88,9,FALSE)</f>
        <v>2</v>
      </c>
      <c r="AK87" s="14">
        <f>VLOOKUP($AI87,$V85:$AD88,8,FALSE)</f>
        <v>-2</v>
      </c>
      <c r="AL87" s="14" t="str">
        <f>IF(AND($AJ87=$AJ88,$AK88&gt;$AK87),$AI88,$AI87)</f>
        <v>CRISTIANO</v>
      </c>
      <c r="AM87" s="14">
        <f>VLOOKUP($AL87,$V85:$AD88,9,FALSE)</f>
        <v>2</v>
      </c>
      <c r="AN87" s="14">
        <f>VLOOKUP($AL87,$V85:$AD88,8,FALSE)</f>
        <v>-2</v>
      </c>
      <c r="AO87" s="14" t="str">
        <f>IF(AND($AM85=$AM87,$AN87&gt;$AN85),$AL85,$AL87)</f>
        <v>CRISTIANO</v>
      </c>
      <c r="AP87" s="14">
        <f>VLOOKUP($AO87,$V85:$AD88,9,FALSE)</f>
        <v>2</v>
      </c>
      <c r="AQ87" s="14">
        <f>VLOOKUP($AO87,$V85:$AD88,8,FALSE)</f>
        <v>-2</v>
      </c>
      <c r="AR87" s="14" t="str">
        <f>IF(AND($AP86=$AP87,$AQ87&gt;$AQ86),$AO86,$AO87)</f>
        <v>CRISTIANO</v>
      </c>
      <c r="AS87" s="14">
        <f>VLOOKUP($AR87,$V85:$AD88,9,FALSE)</f>
        <v>2</v>
      </c>
      <c r="AT87" s="14">
        <f>VLOOKUP($AR87,$V85:$AD88,8,FALSE)</f>
        <v>-2</v>
      </c>
      <c r="AU87" s="14">
        <f>VLOOKUP($AR87,$V85:$AD88,6,FALSE)</f>
        <v>0</v>
      </c>
      <c r="AV87" s="14" t="str">
        <f>IF(AND($AS87=$AS88,$AT87=$AT88,$AU88&gt;$AU87),$AR88,$AR87)</f>
        <v>CRISTIANO</v>
      </c>
      <c r="AW87" s="14">
        <f>VLOOKUP($AV87,$V85:$AD88,9,FALSE)</f>
        <v>2</v>
      </c>
      <c r="AX87" s="14">
        <f>VLOOKUP($AV87,$V85:$AD88,8,FALSE)</f>
        <v>-2</v>
      </c>
      <c r="AY87" s="14">
        <f>VLOOKUP($AV87,$V85:$AD88,6,FALSE)</f>
        <v>0</v>
      </c>
      <c r="AZ87" s="14" t="str">
        <f>IF(AND($AW85=$AW87,$AX85=$AX87,$AY87&gt;$AY85),$AV85,$AV87)</f>
        <v>CRISTIANO</v>
      </c>
      <c r="BA87" s="14">
        <f>VLOOKUP($AZ87,$V85:$AD88,9,FALSE)</f>
        <v>2</v>
      </c>
      <c r="BB87" s="14">
        <f>VLOOKUP($AZ87,$V85:$AD88,8,FALSE)</f>
        <v>-2</v>
      </c>
      <c r="BC87" s="14">
        <f>VLOOKUP($AZ87,$V85:$AD88,6,FALSE)</f>
        <v>0</v>
      </c>
      <c r="BD87" s="14" t="str">
        <f>IF(AND($BA86=$BA87,$BB86=$BB87,$BC87&gt;$BC86),$AZ86,$AZ87)</f>
        <v>CRISTIANO</v>
      </c>
      <c r="BE87" s="14">
        <f>VLOOKUP($BD87,$V85:$AD88,9,FALSE)</f>
        <v>2</v>
      </c>
      <c r="BF87" s="14">
        <f>VLOOKUP($BD87,$V85:$AD88,8,FALSE)</f>
        <v>-2</v>
      </c>
      <c r="BG87" s="14">
        <f>VLOOKUP($BD87,$V85:$AD88,6,FALSE)</f>
        <v>0</v>
      </c>
      <c r="BK87" s="14" t="str">
        <f>BD87</f>
        <v>CRISTIANO</v>
      </c>
      <c r="BL87" s="14">
        <f>VLOOKUP($BK87,$V85:$AD88,2,FALSE)</f>
        <v>3</v>
      </c>
      <c r="BM87" s="14">
        <f>VLOOKUP($BK87,$V85:$AD88,3,FALSE)</f>
        <v>0</v>
      </c>
      <c r="BN87" s="14">
        <f>VLOOKUP($BK87,$V85:$AD88,4,FALSE)</f>
        <v>1</v>
      </c>
      <c r="BO87" s="14">
        <f>VLOOKUP($BK87,$V85:$AD88,5,FALSE)</f>
        <v>2</v>
      </c>
      <c r="BP87" s="14">
        <f>VLOOKUP($BK87,$V85:$AD88,6,FALSE)</f>
        <v>0</v>
      </c>
      <c r="BQ87" s="14">
        <f>VLOOKUP($BK87,$V85:$AD88,7,FALSE)</f>
        <v>2</v>
      </c>
      <c r="BR87" s="14">
        <f>VLOOKUP($BK87,$V85:$AD88,8,FALSE)</f>
        <v>-2</v>
      </c>
      <c r="BS87" s="14">
        <f>VLOOKUP($BK87,$V85:$AD88,9,FALSE)</f>
        <v>2</v>
      </c>
    </row>
    <row r="88" spans="1:71" ht="13.5" customHeight="1" thickBot="1">
      <c r="A88" s="26">
        <v>7</v>
      </c>
      <c r="B88" s="33">
        <v>14</v>
      </c>
      <c r="C88" s="34" t="str">
        <f>'Chaves 1a.Fase'!C10</f>
        <v>MARCOS ANT.</v>
      </c>
      <c r="D88" s="88">
        <v>0</v>
      </c>
      <c r="E88" s="87">
        <v>2</v>
      </c>
      <c r="F88" s="35" t="str">
        <f>'Chaves 1a.Fase'!C11</f>
        <v>SERGIO</v>
      </c>
      <c r="G88" s="36" t="str">
        <f>'Chaves 1a.Fase'!D20</f>
        <v>ROGÉRIO HAR.</v>
      </c>
      <c r="H88" s="26"/>
      <c r="I88" s="14" t="str">
        <f t="shared" si="12"/>
        <v>SERGIO</v>
      </c>
      <c r="J88" s="14" t="str">
        <f t="shared" si="13"/>
        <v>MARCOS ANT.</v>
      </c>
      <c r="L88" s="25" t="str">
        <f aca="true" t="shared" si="16" ref="L88:T91">BK92</f>
        <v>BRENO</v>
      </c>
      <c r="M88" s="26">
        <f t="shared" si="16"/>
        <v>3</v>
      </c>
      <c r="N88" s="26">
        <f t="shared" si="16"/>
        <v>2</v>
      </c>
      <c r="O88" s="26">
        <f t="shared" si="16"/>
        <v>0</v>
      </c>
      <c r="P88" s="26">
        <f t="shared" si="16"/>
        <v>1</v>
      </c>
      <c r="Q88" s="26">
        <f t="shared" si="16"/>
        <v>2</v>
      </c>
      <c r="R88" s="26">
        <f t="shared" si="16"/>
        <v>0</v>
      </c>
      <c r="S88" s="26">
        <f t="shared" si="16"/>
        <v>2</v>
      </c>
      <c r="T88" s="27">
        <f t="shared" si="16"/>
        <v>7</v>
      </c>
      <c r="V88" s="14" t="str">
        <f>'Chaves 1a.Fase'!D17</f>
        <v>DUDA</v>
      </c>
      <c r="W88" s="14">
        <f>COUNT(GUARANI_JOGOS)</f>
        <v>3</v>
      </c>
      <c r="X88" s="14">
        <f>COUNTIF(Groupstage_Winners,'Chaves 1a.Fase'!D17)</f>
        <v>1</v>
      </c>
      <c r="Y88" s="14">
        <f>COUNTIF(Groupstage_Losers,'Chaves 1a.Fase'!D17)</f>
        <v>0</v>
      </c>
      <c r="Z88" s="14">
        <f>W88-(X88+Y88)</f>
        <v>2</v>
      </c>
      <c r="AA88" s="14">
        <f>SUM(GUARANI_JOGOS)</f>
        <v>2</v>
      </c>
      <c r="AB88" s="14">
        <f>SUM(GUARANI_ADV)</f>
        <v>0</v>
      </c>
      <c r="AC88" s="14">
        <f>AA88-AB88</f>
        <v>2</v>
      </c>
      <c r="AD88" s="14">
        <f>X88*Winpoints+Z88*Drawpoints</f>
        <v>5</v>
      </c>
      <c r="AE88" s="14" t="str">
        <f>IF($AD88&lt;=$AD87,$V88,$V87)</f>
        <v>LEANDRO</v>
      </c>
      <c r="AF88" s="14">
        <f>VLOOKUP($AE88,$V85:$AD88,9,FALSE)</f>
        <v>2</v>
      </c>
      <c r="AG88" s="14" t="str">
        <f>IF(AF88&lt;=AF86,AE88,AE86)</f>
        <v>LEANDRO</v>
      </c>
      <c r="AH88" s="14">
        <f>VLOOKUP($AG88,$V85:$AD88,9,FALSE)</f>
        <v>2</v>
      </c>
      <c r="AI88" s="14" t="str">
        <f>IF($AH88&lt;=$AH85,$AG88,$AG85)</f>
        <v>LEANDRO</v>
      </c>
      <c r="AJ88" s="14">
        <f>VLOOKUP($AI88,$V85:$AD88,9,FALSE)</f>
        <v>2</v>
      </c>
      <c r="AK88" s="14">
        <f>VLOOKUP($AI88,$V85:$AD88,8,FALSE)</f>
        <v>-2</v>
      </c>
      <c r="AL88" s="14" t="str">
        <f>IF(AND($AJ87=$AJ88,$AK88&gt;$AK87),$AI87,$AI88)</f>
        <v>LEANDRO</v>
      </c>
      <c r="AM88" s="14">
        <f>VLOOKUP($AL88,$V85:$AD88,9,FALSE)</f>
        <v>2</v>
      </c>
      <c r="AN88" s="14">
        <f>VLOOKUP($AL88,$V85:$AD88,8,FALSE)</f>
        <v>-2</v>
      </c>
      <c r="AO88" s="14" t="str">
        <f>IF(AND($AM86=$AM88,$AN88&gt;$AN86),$AL86,$AL88)</f>
        <v>LEANDRO</v>
      </c>
      <c r="AP88" s="14">
        <f>VLOOKUP($AO88,$V85:$AD88,9,FALSE)</f>
        <v>2</v>
      </c>
      <c r="AQ88" s="14">
        <f>VLOOKUP($AO88,$V85:$AD88,8,FALSE)</f>
        <v>-2</v>
      </c>
      <c r="AR88" s="14" t="str">
        <f>IF(AND($AP85=$AP88,$AQ88&gt;$AQ85),$AO85,$AO88)</f>
        <v>LEANDRO</v>
      </c>
      <c r="AS88" s="14">
        <f>VLOOKUP($AR88,$V85:$AD88,9,FALSE)</f>
        <v>2</v>
      </c>
      <c r="AT88" s="14">
        <f>VLOOKUP($AR88,$V85:$AD88,8,FALSE)</f>
        <v>-2</v>
      </c>
      <c r="AU88" s="14">
        <f>VLOOKUP($AR88,$V85:$AD88,6,FALSE)</f>
        <v>0</v>
      </c>
      <c r="AV88" s="14" t="str">
        <f>IF(AND($AS87=$AS88,$AT87=$AT88,$AU88&gt;$AU87),$AR87,$AR88)</f>
        <v>LEANDRO</v>
      </c>
      <c r="AW88" s="14">
        <f>VLOOKUP($AV88,$V85:$AD88,9,FALSE)</f>
        <v>2</v>
      </c>
      <c r="AX88" s="14">
        <f>VLOOKUP($AV88,$V85:$AD88,8,FALSE)</f>
        <v>-2</v>
      </c>
      <c r="AY88" s="14">
        <f>VLOOKUP($AV88,$V85:$AD88,6,FALSE)</f>
        <v>0</v>
      </c>
      <c r="AZ88" s="14" t="str">
        <f>IF(AND($AW86=$AW88,$AX86=$AX88,$AY88&gt;$AY86),$AV86,$AV88)</f>
        <v>LEANDRO</v>
      </c>
      <c r="BA88" s="14">
        <f>VLOOKUP($AZ88,$V85:$AD88,9,FALSE)</f>
        <v>2</v>
      </c>
      <c r="BB88" s="14">
        <f>VLOOKUP($AZ88,$V85:$AD88,8,FALSE)</f>
        <v>-2</v>
      </c>
      <c r="BC88" s="14">
        <f>VLOOKUP($AZ88,$V85:$AD88,6,FALSE)</f>
        <v>0</v>
      </c>
      <c r="BD88" s="14" t="str">
        <f>IF(AND($BA85=$BA88,$BB85=$BB88,$BC88&gt;$BC85),$AZ85,$AZ88)</f>
        <v>LEANDRO</v>
      </c>
      <c r="BE88" s="14">
        <f>VLOOKUP($BD88,$V85:$AD88,9,FALSE)</f>
        <v>2</v>
      </c>
      <c r="BF88" s="14">
        <f>VLOOKUP($BD88,$V85:$AD88,8,FALSE)</f>
        <v>-2</v>
      </c>
      <c r="BG88" s="14">
        <f>VLOOKUP($BD88,$V85:$AD88,6,FALSE)</f>
        <v>0</v>
      </c>
      <c r="BK88" s="14" t="str">
        <f>BD88</f>
        <v>LEANDRO</v>
      </c>
      <c r="BL88" s="14">
        <f>VLOOKUP($BK88,$V85:$AD88,2,FALSE)</f>
        <v>3</v>
      </c>
      <c r="BM88" s="14">
        <f>VLOOKUP($BK88,$V85:$AD88,3,FALSE)</f>
        <v>0</v>
      </c>
      <c r="BN88" s="14">
        <f>VLOOKUP($BK88,$V85:$AD88,4,FALSE)</f>
        <v>1</v>
      </c>
      <c r="BO88" s="14">
        <f>VLOOKUP($BK88,$V85:$AD88,5,FALSE)</f>
        <v>2</v>
      </c>
      <c r="BP88" s="14">
        <f>VLOOKUP($BK88,$V85:$AD88,6,FALSE)</f>
        <v>0</v>
      </c>
      <c r="BQ88" s="14">
        <f>VLOOKUP($BK88,$V85:$AD88,7,FALSE)</f>
        <v>2</v>
      </c>
      <c r="BR88" s="14">
        <f>VLOOKUP($BK88,$V85:$AD88,8,FALSE)</f>
        <v>-2</v>
      </c>
      <c r="BS88" s="14">
        <f>VLOOKUP($BK88,$V85:$AD88,9,FALSE)</f>
        <v>2</v>
      </c>
    </row>
    <row r="89" spans="1:20" ht="13.5" customHeight="1" thickBot="1">
      <c r="A89" s="26">
        <v>8</v>
      </c>
      <c r="B89" s="33">
        <v>15</v>
      </c>
      <c r="C89" s="34" t="str">
        <f>'Chaves 1a.Fase'!D8</f>
        <v>ITALO</v>
      </c>
      <c r="D89" s="88">
        <v>1</v>
      </c>
      <c r="E89" s="87">
        <v>0</v>
      </c>
      <c r="F89" s="35" t="str">
        <f>'Chaves 1a.Fase'!D9</f>
        <v>AZAMBUJA</v>
      </c>
      <c r="G89" s="36" t="str">
        <f>'Chaves 1a.Fase'!C21</f>
        <v>MATEUS</v>
      </c>
      <c r="H89" s="26"/>
      <c r="I89" s="14" t="str">
        <f t="shared" si="12"/>
        <v>ITALO</v>
      </c>
      <c r="J89" s="14" t="str">
        <f t="shared" si="13"/>
        <v>AZAMBUJA</v>
      </c>
      <c r="L89" s="25" t="str">
        <f t="shared" si="16"/>
        <v>VINÍCIUS</v>
      </c>
      <c r="M89" s="26">
        <f t="shared" si="16"/>
        <v>3</v>
      </c>
      <c r="N89" s="26">
        <f t="shared" si="16"/>
        <v>2</v>
      </c>
      <c r="O89" s="26">
        <f t="shared" si="16"/>
        <v>1</v>
      </c>
      <c r="P89" s="26">
        <f t="shared" si="16"/>
        <v>0</v>
      </c>
      <c r="Q89" s="26">
        <f t="shared" si="16"/>
        <v>3</v>
      </c>
      <c r="R89" s="26">
        <f t="shared" si="16"/>
        <v>1</v>
      </c>
      <c r="S89" s="26">
        <f t="shared" si="16"/>
        <v>2</v>
      </c>
      <c r="T89" s="27">
        <f t="shared" si="16"/>
        <v>6</v>
      </c>
    </row>
    <row r="90" spans="1:22" ht="13.5" customHeight="1" thickBot="1">
      <c r="A90" s="26">
        <v>8</v>
      </c>
      <c r="B90" s="33">
        <v>16</v>
      </c>
      <c r="C90" s="34" t="str">
        <f>'Chaves 1a.Fase'!D10</f>
        <v>ALEX</v>
      </c>
      <c r="D90" s="88">
        <v>2</v>
      </c>
      <c r="E90" s="87">
        <v>0</v>
      </c>
      <c r="F90" s="35" t="str">
        <f>'Chaves 1a.Fase'!D11</f>
        <v>MALLET</v>
      </c>
      <c r="G90" s="36" t="str">
        <f>'Chaves 1a.Fase'!D21</f>
        <v>ALESSANDRO</v>
      </c>
      <c r="H90" s="26"/>
      <c r="I90" s="14" t="str">
        <f t="shared" si="12"/>
        <v>ALEX</v>
      </c>
      <c r="J90" s="14" t="str">
        <f t="shared" si="13"/>
        <v>MALLET</v>
      </c>
      <c r="L90" s="25" t="str">
        <f t="shared" si="16"/>
        <v>JORGITO</v>
      </c>
      <c r="M90" s="26">
        <f t="shared" si="16"/>
        <v>3</v>
      </c>
      <c r="N90" s="26">
        <f t="shared" si="16"/>
        <v>1</v>
      </c>
      <c r="O90" s="26">
        <f t="shared" si="16"/>
        <v>1</v>
      </c>
      <c r="P90" s="26">
        <f t="shared" si="16"/>
        <v>1</v>
      </c>
      <c r="Q90" s="26">
        <f t="shared" si="16"/>
        <v>3</v>
      </c>
      <c r="R90" s="26">
        <f t="shared" si="16"/>
        <v>1</v>
      </c>
      <c r="S90" s="26">
        <f t="shared" si="16"/>
        <v>2</v>
      </c>
      <c r="T90" s="27">
        <f t="shared" si="16"/>
        <v>4</v>
      </c>
      <c r="V90" s="14" t="s">
        <v>131</v>
      </c>
    </row>
    <row r="91" spans="1:71" ht="15.75" customHeight="1">
      <c r="A91" s="74" t="s">
        <v>132</v>
      </c>
      <c r="B91" s="74"/>
      <c r="C91" s="74"/>
      <c r="D91" s="74"/>
      <c r="E91" s="74"/>
      <c r="F91" s="74"/>
      <c r="G91" s="74"/>
      <c r="H91" s="74"/>
      <c r="L91" s="37" t="str">
        <f t="shared" si="16"/>
        <v>EDISON</v>
      </c>
      <c r="M91" s="38">
        <f t="shared" si="16"/>
        <v>3</v>
      </c>
      <c r="N91" s="38">
        <f t="shared" si="16"/>
        <v>0</v>
      </c>
      <c r="O91" s="38">
        <f t="shared" si="16"/>
        <v>3</v>
      </c>
      <c r="P91" s="38">
        <f t="shared" si="16"/>
        <v>0</v>
      </c>
      <c r="Q91" s="38">
        <f t="shared" si="16"/>
        <v>0</v>
      </c>
      <c r="R91" s="38">
        <f t="shared" si="16"/>
        <v>6</v>
      </c>
      <c r="S91" s="38">
        <f t="shared" si="16"/>
        <v>-6</v>
      </c>
      <c r="T91" s="39">
        <f t="shared" si="16"/>
        <v>0</v>
      </c>
      <c r="W91" s="14" t="s">
        <v>107</v>
      </c>
      <c r="X91" s="14" t="s">
        <v>108</v>
      </c>
      <c r="Y91" s="14" t="s">
        <v>109</v>
      </c>
      <c r="Z91" s="14" t="s">
        <v>85</v>
      </c>
      <c r="AA91" s="14" t="s">
        <v>110</v>
      </c>
      <c r="AB91" s="14" t="s">
        <v>111</v>
      </c>
      <c r="AC91" s="14" t="s">
        <v>112</v>
      </c>
      <c r="AD91" s="14" t="s">
        <v>113</v>
      </c>
      <c r="AE91" s="14" t="s">
        <v>114</v>
      </c>
      <c r="AF91" s="14" t="s">
        <v>113</v>
      </c>
      <c r="AG91" s="14" t="s">
        <v>114</v>
      </c>
      <c r="AH91" s="14" t="s">
        <v>113</v>
      </c>
      <c r="AI91" s="14" t="s">
        <v>114</v>
      </c>
      <c r="AJ91" s="14" t="s">
        <v>113</v>
      </c>
      <c r="AK91" s="14" t="s">
        <v>112</v>
      </c>
      <c r="AL91" s="14" t="s">
        <v>114</v>
      </c>
      <c r="AM91" s="14" t="s">
        <v>113</v>
      </c>
      <c r="AN91" s="14" t="s">
        <v>112</v>
      </c>
      <c r="AO91" s="14" t="s">
        <v>114</v>
      </c>
      <c r="AP91" s="14" t="s">
        <v>113</v>
      </c>
      <c r="AQ91" s="14" t="s">
        <v>112</v>
      </c>
      <c r="AR91" s="14" t="s">
        <v>114</v>
      </c>
      <c r="AS91" s="14" t="s">
        <v>113</v>
      </c>
      <c r="AT91" s="14" t="s">
        <v>112</v>
      </c>
      <c r="AU91" s="14" t="s">
        <v>110</v>
      </c>
      <c r="AV91" s="14" t="s">
        <v>114</v>
      </c>
      <c r="AW91" s="14" t="s">
        <v>113</v>
      </c>
      <c r="AX91" s="14" t="s">
        <v>112</v>
      </c>
      <c r="AY91" s="14" t="s">
        <v>110</v>
      </c>
      <c r="AZ91" s="14" t="s">
        <v>114</v>
      </c>
      <c r="BA91" s="14" t="s">
        <v>113</v>
      </c>
      <c r="BB91" s="14" t="s">
        <v>112</v>
      </c>
      <c r="BC91" s="14" t="s">
        <v>110</v>
      </c>
      <c r="BD91" s="14" t="s">
        <v>114</v>
      </c>
      <c r="BE91" s="14" t="s">
        <v>113</v>
      </c>
      <c r="BF91" s="14" t="s">
        <v>112</v>
      </c>
      <c r="BG91" s="14" t="s">
        <v>110</v>
      </c>
      <c r="BL91" s="14" t="s">
        <v>115</v>
      </c>
      <c r="BM91" s="14" t="s">
        <v>108</v>
      </c>
      <c r="BN91" s="14" t="s">
        <v>109</v>
      </c>
      <c r="BO91" s="14" t="s">
        <v>85</v>
      </c>
      <c r="BP91" s="14" t="s">
        <v>110</v>
      </c>
      <c r="BQ91" s="14" t="s">
        <v>111</v>
      </c>
      <c r="BR91" s="14" t="s">
        <v>112</v>
      </c>
      <c r="BS91" s="14" t="s">
        <v>113</v>
      </c>
    </row>
    <row r="92" spans="1:71" ht="13.5" customHeight="1" thickBot="1">
      <c r="A92" s="26">
        <v>9</v>
      </c>
      <c r="B92" s="33">
        <v>1</v>
      </c>
      <c r="C92" s="34" t="str">
        <f>'Chaves 1a.Fase'!A14</f>
        <v>JULINHO</v>
      </c>
      <c r="D92" s="90">
        <v>1</v>
      </c>
      <c r="E92" s="91">
        <v>0</v>
      </c>
      <c r="F92" s="35" t="str">
        <f>'Chaves 1a.Fase'!A15</f>
        <v>DANI</v>
      </c>
      <c r="G92" s="36" t="str">
        <f>'Chaves 1a.Fase'!A2</f>
        <v>PAULO</v>
      </c>
      <c r="H92" s="26"/>
      <c r="I92" s="14" t="str">
        <f t="shared" si="12"/>
        <v>JULINHO</v>
      </c>
      <c r="J92" s="14" t="str">
        <f t="shared" si="13"/>
        <v>DANI</v>
      </c>
      <c r="V92" s="14" t="str">
        <f>'Chaves 1a.Fase'!A20</f>
        <v>JORGITO</v>
      </c>
      <c r="W92" s="14">
        <f>COUNT(VASCO_JOGOS)</f>
        <v>3</v>
      </c>
      <c r="X92" s="14">
        <f>COUNTIF(Groupstage_Winners,'Chaves 1a.Fase'!A20)</f>
        <v>1</v>
      </c>
      <c r="Y92" s="14">
        <f>COUNTIF(Groupstage_Losers,'Chaves 1a.Fase'!A20)</f>
        <v>1</v>
      </c>
      <c r="Z92" s="14">
        <f>W92-(X92+Y92)</f>
        <v>1</v>
      </c>
      <c r="AA92" s="14">
        <f>SUM(VASCO_JOGOS)</f>
        <v>3</v>
      </c>
      <c r="AB92" s="14">
        <f>SUM(VASCO_ADV)</f>
        <v>1</v>
      </c>
      <c r="AC92" s="14">
        <f>AA92-AB92</f>
        <v>2</v>
      </c>
      <c r="AD92" s="14">
        <f>X92*Winpoints+Z92*Drawpoints</f>
        <v>4</v>
      </c>
      <c r="AE92" s="14" t="str">
        <f>IF($AD92&gt;=$AD93,$V92,$V93)</f>
        <v>JORGITO</v>
      </c>
      <c r="AF92" s="14">
        <f>VLOOKUP($AE92,$V92:$AD95,9,FALSE)</f>
        <v>4</v>
      </c>
      <c r="AG92" s="14" t="str">
        <f>IF($AF92&gt;=$AF94,$AE92,$AE94)</f>
        <v>BRENO</v>
      </c>
      <c r="AH92" s="14">
        <f>VLOOKUP($AG92,$V92:$AD95,9,FALSE)</f>
        <v>7</v>
      </c>
      <c r="AI92" s="14" t="str">
        <f>IF($AH92&gt;=$AH95,$AG92,$AG95)</f>
        <v>BRENO</v>
      </c>
      <c r="AJ92" s="14">
        <f>VLOOKUP($AI92,$V92:$AD95,9,FALSE)</f>
        <v>7</v>
      </c>
      <c r="AK92" s="14">
        <f>VLOOKUP($AI92,$V92:$AD95,8,FALSE)</f>
        <v>2</v>
      </c>
      <c r="AL92" s="14" t="str">
        <f>IF(AND($AJ92=$AJ93,$AK93&gt;$AK92),$AI93,$AI92)</f>
        <v>BRENO</v>
      </c>
      <c r="AM92" s="14">
        <f>VLOOKUP($AL92,$V92:$AD95,9,FALSE)</f>
        <v>7</v>
      </c>
      <c r="AN92" s="14">
        <f>VLOOKUP($AL92,$V92:$AD95,8,FALSE)</f>
        <v>2</v>
      </c>
      <c r="AO92" s="14" t="str">
        <f>IF(AND($AM92=$AM94,$AN94&gt;$AN92),$AL94,$AL92)</f>
        <v>BRENO</v>
      </c>
      <c r="AP92" s="14">
        <f>VLOOKUP($AO92,$V92:$AD95,9,FALSE)</f>
        <v>7</v>
      </c>
      <c r="AQ92" s="14">
        <f>VLOOKUP($AO92,$V92:$AD95,8,FALSE)</f>
        <v>2</v>
      </c>
      <c r="AR92" s="14" t="str">
        <f>IF(AND($AP92=$AP95,$AQ95&gt;$AQ92),$AO95,$AO92)</f>
        <v>BRENO</v>
      </c>
      <c r="AS92" s="14">
        <f>VLOOKUP($AR92,$V92:$AD95,9,FALSE)</f>
        <v>7</v>
      </c>
      <c r="AT92" s="14">
        <f>VLOOKUP($AR92,$V92:$AD95,8,FALSE)</f>
        <v>2</v>
      </c>
      <c r="AU92" s="14">
        <f>VLOOKUP($AR92,$V92:$AD95,6,FALSE)</f>
        <v>2</v>
      </c>
      <c r="AV92" s="14" t="str">
        <f>IF(AND($AS92=$AS93,$AT92=$AT93,$AU93&gt;$AU92),$AR93,$AR92)</f>
        <v>BRENO</v>
      </c>
      <c r="AW92" s="14">
        <f>VLOOKUP($AV92,$V92:$AD95,9,FALSE)</f>
        <v>7</v>
      </c>
      <c r="AX92" s="14">
        <f>VLOOKUP($AV92,$V92:$AD95,8,FALSE)</f>
        <v>2</v>
      </c>
      <c r="AY92" s="14">
        <f>VLOOKUP($AV92,$V92:$AD95,6,FALSE)</f>
        <v>2</v>
      </c>
      <c r="AZ92" s="14" t="str">
        <f>IF(AND($AW92=$AW94,$AX92=$AX94,$AY94&gt;$AY92),$AV94,$AV92)</f>
        <v>BRENO</v>
      </c>
      <c r="BA92" s="14">
        <f>VLOOKUP($AZ92,$V92:$AD95,9,FALSE)</f>
        <v>7</v>
      </c>
      <c r="BB92" s="14">
        <f>VLOOKUP($AZ92,$V92:$AD95,8,FALSE)</f>
        <v>2</v>
      </c>
      <c r="BC92" s="14">
        <f>VLOOKUP($AZ92,$V92:$AD95,6,FALSE)</f>
        <v>2</v>
      </c>
      <c r="BD92" s="14" t="str">
        <f>IF(AND($BA92=$BA95,$BB92=$BB95,$BC95&gt;$BC92),$AZ95,$AZ92)</f>
        <v>BRENO</v>
      </c>
      <c r="BE92" s="14">
        <f>VLOOKUP($BD92,$V92:$AD95,9,FALSE)</f>
        <v>7</v>
      </c>
      <c r="BF92" s="14">
        <f>VLOOKUP($BD92,$V92:$AD95,8,FALSE)</f>
        <v>2</v>
      </c>
      <c r="BG92" s="14">
        <f>VLOOKUP($BD92,$V92:$AD95,6,FALSE)</f>
        <v>2</v>
      </c>
      <c r="BK92" s="14" t="str">
        <f>BD92</f>
        <v>BRENO</v>
      </c>
      <c r="BL92" s="14">
        <f>VLOOKUP($BK92,$V92:$AD95,2,FALSE)</f>
        <v>3</v>
      </c>
      <c r="BM92" s="14">
        <f>VLOOKUP($BK92,$V92:$AD95,3,FALSE)</f>
        <v>2</v>
      </c>
      <c r="BN92" s="14">
        <f>VLOOKUP($BK92,$V92:$AD95,4,FALSE)</f>
        <v>0</v>
      </c>
      <c r="BO92" s="14">
        <f>VLOOKUP($BK92,$V92:$AD95,5,FALSE)</f>
        <v>1</v>
      </c>
      <c r="BP92" s="14">
        <f>VLOOKUP($BK92,$V92:$AD95,6,FALSE)</f>
        <v>2</v>
      </c>
      <c r="BQ92" s="14">
        <f>VLOOKUP($BK92,$V92:$AD95,7,FALSE)</f>
        <v>0</v>
      </c>
      <c r="BR92" s="14">
        <f>VLOOKUP($BK92,$V92:$AD95,8,FALSE)</f>
        <v>2</v>
      </c>
      <c r="BS92" s="14">
        <f>VLOOKUP($BK92,$V92:$AD95,9,FALSE)</f>
        <v>7</v>
      </c>
    </row>
    <row r="93" spans="1:71" ht="13.5" customHeight="1" thickBot="1">
      <c r="A93" s="26">
        <v>9</v>
      </c>
      <c r="B93" s="33">
        <v>2</v>
      </c>
      <c r="C93" s="34" t="str">
        <f>'Chaves 1a.Fase'!A16</f>
        <v>JONI</v>
      </c>
      <c r="D93" s="88">
        <v>2</v>
      </c>
      <c r="E93" s="87">
        <v>0</v>
      </c>
      <c r="F93" s="35" t="str">
        <f>'Chaves 1a.Fase'!A17</f>
        <v>OCHOINHA</v>
      </c>
      <c r="G93" s="36" t="str">
        <f>'Chaves 1a.Fase'!B2</f>
        <v>CHRISTIAN</v>
      </c>
      <c r="H93" s="26"/>
      <c r="I93" s="14" t="str">
        <f t="shared" si="12"/>
        <v>JONI</v>
      </c>
      <c r="J93" s="14" t="str">
        <f t="shared" si="13"/>
        <v>OCHOINHA</v>
      </c>
      <c r="L93" s="19" t="s">
        <v>61</v>
      </c>
      <c r="M93" s="20"/>
      <c r="N93" s="20"/>
      <c r="O93" s="20"/>
      <c r="P93" s="20"/>
      <c r="Q93" s="20"/>
      <c r="R93" s="20"/>
      <c r="S93" s="20"/>
      <c r="T93" s="21"/>
      <c r="V93" s="14" t="str">
        <f>'Chaves 1a.Fase'!A21</f>
        <v>EDISON</v>
      </c>
      <c r="W93" s="14">
        <f>COUNT(FLAMENGO_JOGOS)</f>
        <v>3</v>
      </c>
      <c r="X93" s="14">
        <f>COUNTIF(Groupstage_Winners,'Chaves 1a.Fase'!A21)</f>
        <v>0</v>
      </c>
      <c r="Y93" s="14">
        <f>COUNTIF(Groupstage_Losers,'Chaves 1a.Fase'!A21)</f>
        <v>3</v>
      </c>
      <c r="Z93" s="14">
        <f>W93-(X93+Y93)</f>
        <v>0</v>
      </c>
      <c r="AA93" s="14">
        <f>SUM(FLAMENGO_JOGOS)</f>
        <v>0</v>
      </c>
      <c r="AB93" s="14">
        <f>SUM(FLAMENGO_ADV)</f>
        <v>6</v>
      </c>
      <c r="AC93" s="14">
        <f>AA93-AB93</f>
        <v>-6</v>
      </c>
      <c r="AD93" s="14">
        <f>X93*Winpoints+Z93*Drawpoints</f>
        <v>0</v>
      </c>
      <c r="AE93" s="14" t="str">
        <f>IF($AD93&lt;=$AD92,$V93,$V92)</f>
        <v>EDISON</v>
      </c>
      <c r="AF93" s="14">
        <f>VLOOKUP($AE93,$V92:$AD95,9,FALSE)</f>
        <v>0</v>
      </c>
      <c r="AG93" s="14" t="str">
        <f>IF(AF93&gt;=AF95,AE93,AE95)</f>
        <v>VINÍCIUS</v>
      </c>
      <c r="AH93" s="14">
        <f>VLOOKUP($AG93,$V92:$AD95,9,FALSE)</f>
        <v>6</v>
      </c>
      <c r="AI93" s="14" t="str">
        <f>IF($AH93&gt;=$AH94,$AG93,$AG94)</f>
        <v>VINÍCIUS</v>
      </c>
      <c r="AJ93" s="14">
        <f>VLOOKUP($AI93,$V92:$AD95,9,FALSE)</f>
        <v>6</v>
      </c>
      <c r="AK93" s="14">
        <f>VLOOKUP($AI93,$V92:$AD95,8,FALSE)</f>
        <v>2</v>
      </c>
      <c r="AL93" s="14" t="str">
        <f>IF(AND($AJ92=$AJ93,$AK93&gt;$AK92),$AI92,$AI93)</f>
        <v>VINÍCIUS</v>
      </c>
      <c r="AM93" s="14">
        <f>VLOOKUP($AL93,$V92:$AD95,9,FALSE)</f>
        <v>6</v>
      </c>
      <c r="AN93" s="14">
        <f>VLOOKUP($AL93,$V92:$AD95,8,FALSE)</f>
        <v>2</v>
      </c>
      <c r="AO93" s="14" t="str">
        <f>IF(AND($AM93=$AM95,$AN95&gt;$AN93),$AL95,$AL93)</f>
        <v>VINÍCIUS</v>
      </c>
      <c r="AP93" s="14">
        <f>VLOOKUP($AO93,$V92:$AD95,9,FALSE)</f>
        <v>6</v>
      </c>
      <c r="AQ93" s="14">
        <f>VLOOKUP($AO93,$V92:$AD95,8,FALSE)</f>
        <v>2</v>
      </c>
      <c r="AR93" s="14" t="str">
        <f>IF(AND($AP93=$AP94,$AQ94&gt;$AQ93),$AO94,$AO93)</f>
        <v>VINÍCIUS</v>
      </c>
      <c r="AS93" s="14">
        <f>VLOOKUP($AR93,$V92:$AD95,9,FALSE)</f>
        <v>6</v>
      </c>
      <c r="AT93" s="14">
        <f>VLOOKUP($AR93,$V92:$AD95,8,FALSE)</f>
        <v>2</v>
      </c>
      <c r="AU93" s="14">
        <f>VLOOKUP($AR93,$V92:$AD95,6,FALSE)</f>
        <v>3</v>
      </c>
      <c r="AV93" s="14" t="str">
        <f>IF(AND($AS92=$AS93,$AT92=$AT93,$AU93&gt;$AU92),$AR92,$AR93)</f>
        <v>VINÍCIUS</v>
      </c>
      <c r="AW93" s="14">
        <f>VLOOKUP($AV93,$V92:$AD95,9,FALSE)</f>
        <v>6</v>
      </c>
      <c r="AX93" s="14">
        <f>VLOOKUP($AV93,$V92:$AD95,8,FALSE)</f>
        <v>2</v>
      </c>
      <c r="AY93" s="14">
        <f>VLOOKUP($AV93,$V92:$AD95,6,FALSE)</f>
        <v>3</v>
      </c>
      <c r="AZ93" s="14" t="str">
        <f>IF(AND($AW93=$AW95,$AX93=$AX95,$AY95&gt;$AY93),$AV95,$AV93)</f>
        <v>VINÍCIUS</v>
      </c>
      <c r="BA93" s="14">
        <f>VLOOKUP($AZ93,$V92:$AD95,9,FALSE)</f>
        <v>6</v>
      </c>
      <c r="BB93" s="14">
        <f>VLOOKUP($AZ93,$V92:$AD95,8,FALSE)</f>
        <v>2</v>
      </c>
      <c r="BC93" s="14">
        <f>VLOOKUP($AZ93,$V92:$AD95,6,FALSE)</f>
        <v>3</v>
      </c>
      <c r="BD93" s="14" t="str">
        <f>IF(AND($BA93=$BA94,$BB93=$BB94,$BC94&gt;$BC93),$AZ94,$AZ93)</f>
        <v>VINÍCIUS</v>
      </c>
      <c r="BE93" s="14">
        <f>VLOOKUP($BD93,$V92:$AD95,9,FALSE)</f>
        <v>6</v>
      </c>
      <c r="BF93" s="14">
        <f>VLOOKUP($BD93,$V92:$AD95,8,FALSE)</f>
        <v>2</v>
      </c>
      <c r="BG93" s="14">
        <f>VLOOKUP($BD93,$V92:$AD95,6,FALSE)</f>
        <v>3</v>
      </c>
      <c r="BK93" s="14" t="str">
        <f>BD93</f>
        <v>VINÍCIUS</v>
      </c>
      <c r="BL93" s="14">
        <f>VLOOKUP($BK93,$V92:$AD95,2,FALSE)</f>
        <v>3</v>
      </c>
      <c r="BM93" s="14">
        <f>VLOOKUP($BK93,$V92:$AD95,3,FALSE)</f>
        <v>2</v>
      </c>
      <c r="BN93" s="14">
        <f>VLOOKUP($BK93,$V92:$AD95,4,FALSE)</f>
        <v>1</v>
      </c>
      <c r="BO93" s="14">
        <f>VLOOKUP($BK93,$V92:$AD95,5,FALSE)</f>
        <v>0</v>
      </c>
      <c r="BP93" s="14">
        <f>VLOOKUP($BK93,$V92:$AD95,6,FALSE)</f>
        <v>3</v>
      </c>
      <c r="BQ93" s="14">
        <f>VLOOKUP($BK93,$V92:$AD95,7,FALSE)</f>
        <v>1</v>
      </c>
      <c r="BR93" s="14">
        <f>VLOOKUP($BK93,$V92:$AD95,8,FALSE)</f>
        <v>2</v>
      </c>
      <c r="BS93" s="14">
        <f>VLOOKUP($BK93,$V92:$AD95,9,FALSE)</f>
        <v>6</v>
      </c>
    </row>
    <row r="94" spans="1:71" ht="13.5" customHeight="1" thickBot="1">
      <c r="A94" s="26">
        <v>10</v>
      </c>
      <c r="B94" s="33">
        <v>3</v>
      </c>
      <c r="C94" s="34" t="str">
        <f>'Chaves 1a.Fase'!B14</f>
        <v>KEVIN</v>
      </c>
      <c r="D94" s="88">
        <v>0</v>
      </c>
      <c r="E94" s="87">
        <v>0</v>
      </c>
      <c r="F94" s="35" t="str">
        <f>'Chaves 1a.Fase'!B15</f>
        <v>RENAN</v>
      </c>
      <c r="G94" s="36" t="str">
        <f>'Chaves 1a.Fase'!A3</f>
        <v>LEÃO</v>
      </c>
      <c r="H94" s="26"/>
      <c r="I94" s="14" t="str">
        <f t="shared" si="12"/>
        <v>Draw</v>
      </c>
      <c r="J94" s="14" t="str">
        <f t="shared" si="13"/>
        <v>Draw</v>
      </c>
      <c r="L94" s="22"/>
      <c r="M94" s="23" t="s">
        <v>83</v>
      </c>
      <c r="N94" s="23" t="s">
        <v>84</v>
      </c>
      <c r="O94" s="23" t="s">
        <v>85</v>
      </c>
      <c r="P94" s="23" t="s">
        <v>86</v>
      </c>
      <c r="Q94" s="23" t="s">
        <v>87</v>
      </c>
      <c r="R94" s="23" t="s">
        <v>88</v>
      </c>
      <c r="S94" s="23" t="s">
        <v>89</v>
      </c>
      <c r="T94" s="24" t="s">
        <v>90</v>
      </c>
      <c r="V94" s="14" t="str">
        <f>'Chaves 1a.Fase'!A22</f>
        <v>BRENO</v>
      </c>
      <c r="W94" s="14">
        <f>COUNT(FLUMINENSE_JOGOS)</f>
        <v>3</v>
      </c>
      <c r="X94" s="14">
        <f>COUNTIF(Groupstage_Winners,'Chaves 1a.Fase'!A22)</f>
        <v>2</v>
      </c>
      <c r="Y94" s="14">
        <f>COUNTIF(Groupstage_Losers,'Chaves 1a.Fase'!A22)</f>
        <v>0</v>
      </c>
      <c r="Z94" s="14">
        <f>W94-(X94+Y94)</f>
        <v>1</v>
      </c>
      <c r="AA94" s="14">
        <f>SUM(FLUMINENSE_JOGOS)</f>
        <v>2</v>
      </c>
      <c r="AB94" s="14">
        <f>SUM(FLUMINENSE_ADV)</f>
        <v>0</v>
      </c>
      <c r="AC94" s="14">
        <f>AA94-AB94</f>
        <v>2</v>
      </c>
      <c r="AD94" s="14">
        <f>X94*Winpoints+Z94*Drawpoints</f>
        <v>7</v>
      </c>
      <c r="AE94" s="14" t="str">
        <f>IF($AD94&gt;=$AD95,$V94,$V95)</f>
        <v>BRENO</v>
      </c>
      <c r="AF94" s="14">
        <f>VLOOKUP($AE94,$V92:$AD95,9,FALSE)</f>
        <v>7</v>
      </c>
      <c r="AG94" s="14" t="str">
        <f>IF($AF94&lt;=$AF92,$AE94,$AE92)</f>
        <v>JORGITO</v>
      </c>
      <c r="AH94" s="14">
        <f>VLOOKUP($AG94,$V92:$AD95,9,FALSE)</f>
        <v>4</v>
      </c>
      <c r="AI94" s="14" t="str">
        <f>IF($AH94&lt;=$AH93,$AG94,$AG93)</f>
        <v>JORGITO</v>
      </c>
      <c r="AJ94" s="14">
        <f>VLOOKUP($AI94,$V92:$AD95,9,FALSE)</f>
        <v>4</v>
      </c>
      <c r="AK94" s="14">
        <f>VLOOKUP($AI94,$V92:$AD95,8,FALSE)</f>
        <v>2</v>
      </c>
      <c r="AL94" s="14" t="str">
        <f>IF(AND($AJ94=$AJ95,$AK95&gt;$AK94),$AI95,$AI94)</f>
        <v>JORGITO</v>
      </c>
      <c r="AM94" s="14">
        <f>VLOOKUP($AL94,$V92:$AD95,9,FALSE)</f>
        <v>4</v>
      </c>
      <c r="AN94" s="14">
        <f>VLOOKUP($AL94,$V92:$AD95,8,FALSE)</f>
        <v>2</v>
      </c>
      <c r="AO94" s="14" t="str">
        <f>IF(AND($AM92=$AM94,$AN94&gt;$AN92),$AL92,$AL94)</f>
        <v>JORGITO</v>
      </c>
      <c r="AP94" s="14">
        <f>VLOOKUP($AO94,$V92:$AD95,9,FALSE)</f>
        <v>4</v>
      </c>
      <c r="AQ94" s="14">
        <f>VLOOKUP($AO94,$V92:$AD95,8,FALSE)</f>
        <v>2</v>
      </c>
      <c r="AR94" s="14" t="str">
        <f>IF(AND($AP93=$AP94,$AQ94&gt;$AQ93),$AO93,$AO94)</f>
        <v>JORGITO</v>
      </c>
      <c r="AS94" s="14">
        <f>VLOOKUP($AR94,$V92:$AD95,9,FALSE)</f>
        <v>4</v>
      </c>
      <c r="AT94" s="14">
        <f>VLOOKUP($AR94,$V92:$AD95,8,FALSE)</f>
        <v>2</v>
      </c>
      <c r="AU94" s="14">
        <f>VLOOKUP($AR94,$V92:$AD95,6,FALSE)</f>
        <v>3</v>
      </c>
      <c r="AV94" s="14" t="str">
        <f>IF(AND($AS94=$AS95,$AT94=$AT95,$AU95&gt;$AU94),$AR95,$AR94)</f>
        <v>JORGITO</v>
      </c>
      <c r="AW94" s="14">
        <f>VLOOKUP($AV94,$V92:$AD95,9,FALSE)</f>
        <v>4</v>
      </c>
      <c r="AX94" s="14">
        <f>VLOOKUP($AV94,$V92:$AD95,8,FALSE)</f>
        <v>2</v>
      </c>
      <c r="AY94" s="14">
        <f>VLOOKUP($AV94,$V92:$AD95,6,FALSE)</f>
        <v>3</v>
      </c>
      <c r="AZ94" s="14" t="str">
        <f>IF(AND($AW92=$AW94,$AX92=$AX94,$AY94&gt;$AY92),$AV92,$AV94)</f>
        <v>JORGITO</v>
      </c>
      <c r="BA94" s="14">
        <f>VLOOKUP($AZ94,$V92:$AD95,9,FALSE)</f>
        <v>4</v>
      </c>
      <c r="BB94" s="14">
        <f>VLOOKUP($AZ94,$V92:$AD95,8,FALSE)</f>
        <v>2</v>
      </c>
      <c r="BC94" s="14">
        <f>VLOOKUP($AZ94,$V92:$AD95,6,FALSE)</f>
        <v>3</v>
      </c>
      <c r="BD94" s="14" t="str">
        <f>IF(AND($BA93=$BA94,$BB93=$BB94,$BC94&gt;$BC93),$AZ93,$AZ94)</f>
        <v>JORGITO</v>
      </c>
      <c r="BE94" s="14">
        <f>VLOOKUP($BD94,$V92:$AD95,9,FALSE)</f>
        <v>4</v>
      </c>
      <c r="BF94" s="14">
        <f>VLOOKUP($BD94,$V92:$AD95,8,FALSE)</f>
        <v>2</v>
      </c>
      <c r="BG94" s="14">
        <f>VLOOKUP($BD94,$V92:$AD95,6,FALSE)</f>
        <v>3</v>
      </c>
      <c r="BK94" s="14" t="str">
        <f>BD94</f>
        <v>JORGITO</v>
      </c>
      <c r="BL94" s="14">
        <f>VLOOKUP($BK94,$V92:$AD95,2,FALSE)</f>
        <v>3</v>
      </c>
      <c r="BM94" s="14">
        <f>VLOOKUP($BK94,$V92:$AD95,3,FALSE)</f>
        <v>1</v>
      </c>
      <c r="BN94" s="14">
        <f>VLOOKUP($BK94,$V92:$AD95,4,FALSE)</f>
        <v>1</v>
      </c>
      <c r="BO94" s="14">
        <f>VLOOKUP($BK94,$V92:$AD95,5,FALSE)</f>
        <v>1</v>
      </c>
      <c r="BP94" s="14">
        <f>VLOOKUP($BK94,$V92:$AD95,6,FALSE)</f>
        <v>3</v>
      </c>
      <c r="BQ94" s="14">
        <f>VLOOKUP($BK94,$V92:$AD95,7,FALSE)</f>
        <v>1</v>
      </c>
      <c r="BR94" s="14">
        <f>VLOOKUP($BK94,$V92:$AD95,8,FALSE)</f>
        <v>2</v>
      </c>
      <c r="BS94" s="14">
        <f>VLOOKUP($BK94,$V92:$AD95,9,FALSE)</f>
        <v>4</v>
      </c>
    </row>
    <row r="95" spans="1:71" ht="13.5" customHeight="1" thickBot="1">
      <c r="A95" s="26">
        <v>10</v>
      </c>
      <c r="B95" s="33">
        <v>4</v>
      </c>
      <c r="C95" s="34" t="str">
        <f>'Chaves 1a.Fase'!B16</f>
        <v>FELIPE</v>
      </c>
      <c r="D95" s="88">
        <v>0</v>
      </c>
      <c r="E95" s="87">
        <v>0</v>
      </c>
      <c r="F95" s="35" t="str">
        <f>'Chaves 1a.Fase'!B17</f>
        <v>OSMAR</v>
      </c>
      <c r="G95" s="36" t="str">
        <f>'Chaves 1a.Fase'!B3</f>
        <v>ELIAS</v>
      </c>
      <c r="H95" s="26"/>
      <c r="I95" s="14" t="str">
        <f t="shared" si="12"/>
        <v>Draw</v>
      </c>
      <c r="J95" s="14" t="str">
        <f t="shared" si="13"/>
        <v>Draw</v>
      </c>
      <c r="L95" s="25" t="str">
        <f aca="true" t="shared" si="17" ref="L95:T98">BK99</f>
        <v>BRANDÃO</v>
      </c>
      <c r="M95" s="26">
        <f t="shared" si="17"/>
        <v>3</v>
      </c>
      <c r="N95" s="26">
        <f t="shared" si="17"/>
        <v>2</v>
      </c>
      <c r="O95" s="26">
        <f t="shared" si="17"/>
        <v>0</v>
      </c>
      <c r="P95" s="26">
        <f t="shared" si="17"/>
        <v>1</v>
      </c>
      <c r="Q95" s="26">
        <f t="shared" si="17"/>
        <v>4</v>
      </c>
      <c r="R95" s="26">
        <f t="shared" si="17"/>
        <v>0</v>
      </c>
      <c r="S95" s="26">
        <f t="shared" si="17"/>
        <v>4</v>
      </c>
      <c r="T95" s="27">
        <f t="shared" si="17"/>
        <v>7</v>
      </c>
      <c r="V95" s="14" t="str">
        <f>'Chaves 1a.Fase'!A23</f>
        <v>VINÍCIUS</v>
      </c>
      <c r="W95" s="14">
        <f>COUNT(BOTAFOGO_JOGOS)</f>
        <v>3</v>
      </c>
      <c r="X95" s="14">
        <f>COUNTIF(Groupstage_Winners,'Chaves 1a.Fase'!A23)</f>
        <v>2</v>
      </c>
      <c r="Y95" s="14">
        <f>COUNTIF(Groupstage_Losers,'Chaves 1a.Fase'!A23)</f>
        <v>1</v>
      </c>
      <c r="Z95" s="14">
        <f>W95-(X95+Y95)</f>
        <v>0</v>
      </c>
      <c r="AA95" s="14">
        <f>SUM(BOTAFOGO_JOGOS)</f>
        <v>3</v>
      </c>
      <c r="AB95" s="14">
        <f>SUM(BOTAFOGO_ADV)</f>
        <v>1</v>
      </c>
      <c r="AC95" s="14">
        <f>AA95-AB95</f>
        <v>2</v>
      </c>
      <c r="AD95" s="14">
        <f>X95*Winpoints+Z95*Drawpoints</f>
        <v>6</v>
      </c>
      <c r="AE95" s="14" t="str">
        <f>IF($AD95&lt;=$AD94,$V95,$V94)</f>
        <v>VINÍCIUS</v>
      </c>
      <c r="AF95" s="14">
        <f>VLOOKUP($AE95,$V92:$AD95,9,FALSE)</f>
        <v>6</v>
      </c>
      <c r="AG95" s="14" t="str">
        <f>IF(AF95&lt;=AF93,AE95,AE93)</f>
        <v>EDISON</v>
      </c>
      <c r="AH95" s="14">
        <f>VLOOKUP($AG95,$V92:$AD95,9,FALSE)</f>
        <v>0</v>
      </c>
      <c r="AI95" s="14" t="str">
        <f>IF($AH95&lt;=$AH92,$AG95,$AG92)</f>
        <v>EDISON</v>
      </c>
      <c r="AJ95" s="14">
        <f>VLOOKUP($AI95,$V92:$AD95,9,FALSE)</f>
        <v>0</v>
      </c>
      <c r="AK95" s="14">
        <f>VLOOKUP($AI95,$V92:$AD95,8,FALSE)</f>
        <v>-6</v>
      </c>
      <c r="AL95" s="14" t="str">
        <f>IF(AND($AJ94=$AJ95,$AK95&gt;$AK94),$AI94,$AI95)</f>
        <v>EDISON</v>
      </c>
      <c r="AM95" s="14">
        <f>VLOOKUP($AL95,$V92:$AD95,9,FALSE)</f>
        <v>0</v>
      </c>
      <c r="AN95" s="14">
        <f>VLOOKUP($AL95,$V92:$AD95,8,FALSE)</f>
        <v>-6</v>
      </c>
      <c r="AO95" s="14" t="str">
        <f>IF(AND($AM93=$AM95,$AN95&gt;$AN93),$AL93,$AL95)</f>
        <v>EDISON</v>
      </c>
      <c r="AP95" s="14">
        <f>VLOOKUP($AO95,$V92:$AD95,9,FALSE)</f>
        <v>0</v>
      </c>
      <c r="AQ95" s="14">
        <f>VLOOKUP($AO95,$V92:$AD95,8,FALSE)</f>
        <v>-6</v>
      </c>
      <c r="AR95" s="14" t="str">
        <f>IF(AND($AP92=$AP95,$AQ95&gt;$AQ92),$AO92,$AO95)</f>
        <v>EDISON</v>
      </c>
      <c r="AS95" s="14">
        <f>VLOOKUP($AR95,$V92:$AD95,9,FALSE)</f>
        <v>0</v>
      </c>
      <c r="AT95" s="14">
        <f>VLOOKUP($AR95,$V92:$AD95,8,FALSE)</f>
        <v>-6</v>
      </c>
      <c r="AU95" s="14">
        <f>VLOOKUP($AR95,$V92:$AD95,6,FALSE)</f>
        <v>0</v>
      </c>
      <c r="AV95" s="14" t="str">
        <f>IF(AND($AS94=$AS95,$AT94=$AT95,$AU95&gt;$AU94),$AR94,$AR95)</f>
        <v>EDISON</v>
      </c>
      <c r="AW95" s="14">
        <f>VLOOKUP($AV95,$V92:$AD95,9,FALSE)</f>
        <v>0</v>
      </c>
      <c r="AX95" s="14">
        <f>VLOOKUP($AV95,$V92:$AD95,8,FALSE)</f>
        <v>-6</v>
      </c>
      <c r="AY95" s="14">
        <f>VLOOKUP($AV95,$V92:$AD95,6,FALSE)</f>
        <v>0</v>
      </c>
      <c r="AZ95" s="14" t="str">
        <f>IF(AND($AW93=$AW95,$AX93=$AX95,$AY95&gt;$AY93),$AV93,$AV95)</f>
        <v>EDISON</v>
      </c>
      <c r="BA95" s="14">
        <f>VLOOKUP($AZ95,$V92:$AD95,9,FALSE)</f>
        <v>0</v>
      </c>
      <c r="BB95" s="14">
        <f>VLOOKUP($AZ95,$V92:$AD95,8,FALSE)</f>
        <v>-6</v>
      </c>
      <c r="BC95" s="14">
        <f>VLOOKUP($AZ95,$V92:$AD95,6,FALSE)</f>
        <v>0</v>
      </c>
      <c r="BD95" s="14" t="str">
        <f>IF(AND($BA92=$BA95,$BB92=$BB95,$BC95&gt;$BC92),$AZ92,$AZ95)</f>
        <v>EDISON</v>
      </c>
      <c r="BE95" s="14">
        <f>VLOOKUP($BD95,$V92:$AD95,9,FALSE)</f>
        <v>0</v>
      </c>
      <c r="BF95" s="14">
        <f>VLOOKUP($BD95,$V92:$AD95,8,FALSE)</f>
        <v>-6</v>
      </c>
      <c r="BG95" s="14">
        <f>VLOOKUP($BD95,$V92:$AD95,6,FALSE)</f>
        <v>0</v>
      </c>
      <c r="BK95" s="14" t="str">
        <f>BD95</f>
        <v>EDISON</v>
      </c>
      <c r="BL95" s="14">
        <f>VLOOKUP($BK95,$V92:$AD95,2,FALSE)</f>
        <v>3</v>
      </c>
      <c r="BM95" s="14">
        <f>VLOOKUP($BK95,$V92:$AD95,3,FALSE)</f>
        <v>0</v>
      </c>
      <c r="BN95" s="14">
        <f>VLOOKUP($BK95,$V92:$AD95,4,FALSE)</f>
        <v>3</v>
      </c>
      <c r="BO95" s="14">
        <f>VLOOKUP($BK95,$V92:$AD95,5,FALSE)</f>
        <v>0</v>
      </c>
      <c r="BP95" s="14">
        <f>VLOOKUP($BK95,$V92:$AD95,6,FALSE)</f>
        <v>0</v>
      </c>
      <c r="BQ95" s="14">
        <f>VLOOKUP($BK95,$V92:$AD95,7,FALSE)</f>
        <v>6</v>
      </c>
      <c r="BR95" s="14">
        <f>VLOOKUP($BK95,$V92:$AD95,8,FALSE)</f>
        <v>-6</v>
      </c>
      <c r="BS95" s="14">
        <f>VLOOKUP($BK95,$V92:$AD95,9,FALSE)</f>
        <v>0</v>
      </c>
    </row>
    <row r="96" spans="1:20" ht="13.5" customHeight="1" thickBot="1">
      <c r="A96" s="26">
        <v>11</v>
      </c>
      <c r="B96" s="33">
        <v>5</v>
      </c>
      <c r="C96" s="34" t="str">
        <f>'Chaves 1a.Fase'!C14</f>
        <v>JOÃO GARIMA</v>
      </c>
      <c r="D96" s="88">
        <v>2</v>
      </c>
      <c r="E96" s="87">
        <v>0</v>
      </c>
      <c r="F96" s="35" t="str">
        <f>'Chaves 1a.Fase'!C15</f>
        <v>EVERTON</v>
      </c>
      <c r="G96" s="36" t="str">
        <f>'Chaves 1a.Fase'!C2</f>
        <v>RODRIGO B.</v>
      </c>
      <c r="H96" s="26"/>
      <c r="I96" s="14" t="str">
        <f t="shared" si="12"/>
        <v>JOÃO GARIMA</v>
      </c>
      <c r="J96" s="14" t="str">
        <f t="shared" si="13"/>
        <v>EVERTON</v>
      </c>
      <c r="L96" s="25" t="str">
        <f t="shared" si="17"/>
        <v>JOSÉ</v>
      </c>
      <c r="M96" s="26">
        <f t="shared" si="17"/>
        <v>3</v>
      </c>
      <c r="N96" s="26">
        <f t="shared" si="17"/>
        <v>1</v>
      </c>
      <c r="O96" s="26">
        <f t="shared" si="17"/>
        <v>0</v>
      </c>
      <c r="P96" s="26">
        <f t="shared" si="17"/>
        <v>2</v>
      </c>
      <c r="Q96" s="26">
        <f t="shared" si="17"/>
        <v>3</v>
      </c>
      <c r="R96" s="26">
        <f t="shared" si="17"/>
        <v>1</v>
      </c>
      <c r="S96" s="26">
        <f t="shared" si="17"/>
        <v>2</v>
      </c>
      <c r="T96" s="27">
        <f t="shared" si="17"/>
        <v>5</v>
      </c>
    </row>
    <row r="97" spans="1:22" ht="13.5" customHeight="1" thickBot="1">
      <c r="A97" s="26">
        <v>11</v>
      </c>
      <c r="B97" s="33">
        <v>6</v>
      </c>
      <c r="C97" s="34" t="str">
        <f>'Chaves 1a.Fase'!C16</f>
        <v>PUFAL</v>
      </c>
      <c r="D97" s="88">
        <v>1</v>
      </c>
      <c r="E97" s="87">
        <v>0</v>
      </c>
      <c r="F97" s="35" t="str">
        <f>'Chaves 1a.Fase'!C17</f>
        <v>ROGÉRIO FEIJÓ</v>
      </c>
      <c r="G97" s="36" t="str">
        <f>'Chaves 1a.Fase'!D2</f>
        <v>LUCIANO</v>
      </c>
      <c r="H97" s="26"/>
      <c r="I97" s="14" t="str">
        <f t="shared" si="12"/>
        <v>PUFAL</v>
      </c>
      <c r="J97" s="14" t="str">
        <f t="shared" si="13"/>
        <v>ROGÉRIO FEIJÓ</v>
      </c>
      <c r="L97" s="25" t="str">
        <f t="shared" si="17"/>
        <v>TERROZO</v>
      </c>
      <c r="M97" s="26">
        <f t="shared" si="17"/>
        <v>3</v>
      </c>
      <c r="N97" s="26">
        <f t="shared" si="17"/>
        <v>0</v>
      </c>
      <c r="O97" s="26">
        <f t="shared" si="17"/>
        <v>1</v>
      </c>
      <c r="P97" s="26">
        <f t="shared" si="17"/>
        <v>2</v>
      </c>
      <c r="Q97" s="26">
        <f t="shared" si="17"/>
        <v>1</v>
      </c>
      <c r="R97" s="26">
        <f t="shared" si="17"/>
        <v>3</v>
      </c>
      <c r="S97" s="26">
        <f t="shared" si="17"/>
        <v>-2</v>
      </c>
      <c r="T97" s="27">
        <f t="shared" si="17"/>
        <v>2</v>
      </c>
      <c r="V97" s="14" t="s">
        <v>133</v>
      </c>
    </row>
    <row r="98" spans="1:30" ht="13.5" customHeight="1" thickBot="1">
      <c r="A98" s="40">
        <v>12</v>
      </c>
      <c r="B98" s="41">
        <v>7</v>
      </c>
      <c r="C98" s="42" t="str">
        <f>'Chaves 1a.Fase'!D14</f>
        <v>CRISTIANO</v>
      </c>
      <c r="D98" s="88">
        <v>0</v>
      </c>
      <c r="E98" s="87">
        <v>2</v>
      </c>
      <c r="F98" s="43" t="str">
        <f>'Chaves 1a.Fase'!D15</f>
        <v>VINHAS</v>
      </c>
      <c r="G98" s="43" t="str">
        <f>'Chaves 1a.Fase'!C3</f>
        <v>ANTONIO</v>
      </c>
      <c r="H98" s="40"/>
      <c r="I98" s="14" t="str">
        <f t="shared" si="12"/>
        <v>VINHAS</v>
      </c>
      <c r="J98" s="14" t="str">
        <f t="shared" si="13"/>
        <v>CRISTIANO</v>
      </c>
      <c r="L98" s="37" t="str">
        <f t="shared" si="17"/>
        <v>SANDRO</v>
      </c>
      <c r="M98" s="38">
        <f t="shared" si="17"/>
        <v>3</v>
      </c>
      <c r="N98" s="38">
        <f t="shared" si="17"/>
        <v>0</v>
      </c>
      <c r="O98" s="38">
        <f t="shared" si="17"/>
        <v>2</v>
      </c>
      <c r="P98" s="38">
        <f t="shared" si="17"/>
        <v>1</v>
      </c>
      <c r="Q98" s="38">
        <f t="shared" si="17"/>
        <v>0</v>
      </c>
      <c r="R98" s="38">
        <f t="shared" si="17"/>
        <v>4</v>
      </c>
      <c r="S98" s="38">
        <f t="shared" si="17"/>
        <v>-4</v>
      </c>
      <c r="T98" s="39">
        <f t="shared" si="17"/>
        <v>1</v>
      </c>
      <c r="W98" s="14" t="s">
        <v>107</v>
      </c>
      <c r="X98" s="14" t="s">
        <v>108</v>
      </c>
      <c r="Y98" s="14" t="s">
        <v>109</v>
      </c>
      <c r="Z98" s="14" t="s">
        <v>85</v>
      </c>
      <c r="AA98" s="14" t="s">
        <v>110</v>
      </c>
      <c r="AB98" s="14" t="s">
        <v>111</v>
      </c>
      <c r="AC98" s="14" t="s">
        <v>112</v>
      </c>
      <c r="AD98" s="14" t="s">
        <v>113</v>
      </c>
    </row>
    <row r="99" spans="1:71" ht="13.5" customHeight="1" thickBot="1">
      <c r="A99" s="26">
        <v>12</v>
      </c>
      <c r="B99" s="33">
        <v>8</v>
      </c>
      <c r="C99" s="34" t="str">
        <f>'Chaves 1a.Fase'!D16</f>
        <v>LEANDRO</v>
      </c>
      <c r="D99" s="88">
        <v>0</v>
      </c>
      <c r="E99" s="87">
        <v>2</v>
      </c>
      <c r="F99" s="35" t="str">
        <f>'Chaves 1a.Fase'!D17</f>
        <v>DUDA</v>
      </c>
      <c r="G99" s="36" t="str">
        <f>'Chaves 1a.Fase'!D3</f>
        <v>EMERSON</v>
      </c>
      <c r="H99" s="26"/>
      <c r="I99" s="14" t="str">
        <f t="shared" si="12"/>
        <v>DUDA</v>
      </c>
      <c r="J99" s="14" t="str">
        <f t="shared" si="13"/>
        <v>LEANDRO</v>
      </c>
      <c r="V99" s="14" t="str">
        <f>'Chaves 1a.Fase'!B20</f>
        <v>TERROZO</v>
      </c>
      <c r="W99" s="14">
        <f>COUNT(CRUZEIRO_JOGOS)</f>
        <v>3</v>
      </c>
      <c r="X99" s="14">
        <f>COUNTIF(Groupstage_Winners,'Chaves 1a.Fase'!B20)</f>
        <v>0</v>
      </c>
      <c r="Y99" s="14">
        <f>COUNTIF(Groupstage_Losers,'Chaves 1a.Fase'!B20)</f>
        <v>1</v>
      </c>
      <c r="Z99" s="14">
        <f>W99-(X99+Y99)</f>
        <v>2</v>
      </c>
      <c r="AA99" s="14">
        <f>SUM(CRUZEIRO_JOGOS)</f>
        <v>1</v>
      </c>
      <c r="AB99" s="14">
        <f>SUM(CRUZEIRO_ADV)</f>
        <v>3</v>
      </c>
      <c r="AC99" s="14">
        <f>AA99-AB99</f>
        <v>-2</v>
      </c>
      <c r="AD99" s="14">
        <f>X99*Winpoints+Z99*Drawpoints</f>
        <v>2</v>
      </c>
      <c r="AE99" s="14" t="str">
        <f>IF($AD99&gt;=$AD100,$V99,$V100)</f>
        <v>BRANDÃO</v>
      </c>
      <c r="AF99" s="14">
        <f>VLOOKUP($AE99,$V99:$AD102,9,FALSE)</f>
        <v>7</v>
      </c>
      <c r="AG99" s="14" t="str">
        <f>IF($AF99&gt;=$AF101,$AE99,$AE101)</f>
        <v>BRANDÃO</v>
      </c>
      <c r="AH99" s="14">
        <f>VLOOKUP($AG99,$V99:$AD102,9,FALSE)</f>
        <v>7</v>
      </c>
      <c r="AI99" s="14" t="str">
        <f>IF($AH99&gt;=$AH102,$AG99,$AG102)</f>
        <v>BRANDÃO</v>
      </c>
      <c r="AJ99" s="14">
        <f>VLOOKUP($AI99,$V99:$AD102,9,FALSE)</f>
        <v>7</v>
      </c>
      <c r="AK99" s="14">
        <f>VLOOKUP($AI99,$V99:$AD102,8,FALSE)</f>
        <v>4</v>
      </c>
      <c r="AL99" s="14" t="str">
        <f>IF(AND($AJ99=$AJ100,$AK100&gt;$AK99),$AI100,$AI99)</f>
        <v>BRANDÃO</v>
      </c>
      <c r="AM99" s="14">
        <f>VLOOKUP($AL99,$V99:$AD102,9,FALSE)</f>
        <v>7</v>
      </c>
      <c r="AN99" s="14">
        <f>VLOOKUP($AL99,$V99:$AD102,8,FALSE)</f>
        <v>4</v>
      </c>
      <c r="AO99" s="14" t="str">
        <f>IF(AND($AM99=$AM101,$AN101&gt;$AN99),$AL101,$AL99)</f>
        <v>BRANDÃO</v>
      </c>
      <c r="AP99" s="14">
        <f>VLOOKUP($AO99,$V99:$AD102,9,FALSE)</f>
        <v>7</v>
      </c>
      <c r="AQ99" s="14">
        <f>VLOOKUP($AO99,$V99:$AD102,8,FALSE)</f>
        <v>4</v>
      </c>
      <c r="AR99" s="14" t="str">
        <f>IF(AND($AP99=$AP102,$AQ102&gt;$AQ99),$AO102,$AO99)</f>
        <v>BRANDÃO</v>
      </c>
      <c r="AS99" s="14">
        <f>VLOOKUP($AR99,$V99:$AD102,9,FALSE)</f>
        <v>7</v>
      </c>
      <c r="AT99" s="14">
        <f>VLOOKUP($AR99,$V99:$AD102,8,FALSE)</f>
        <v>4</v>
      </c>
      <c r="AU99" s="14">
        <f>VLOOKUP($AR99,$V99:$AD102,6,FALSE)</f>
        <v>4</v>
      </c>
      <c r="AV99" s="14" t="str">
        <f>IF(AND($AS99=$AS100,$AT99=$AT100,$AU100&gt;$AU99),$AR100,$AR99)</f>
        <v>BRANDÃO</v>
      </c>
      <c r="AW99" s="14">
        <f>VLOOKUP($AV99,$V99:$AD102,9,FALSE)</f>
        <v>7</v>
      </c>
      <c r="AX99" s="14">
        <f>VLOOKUP($AV99,$V99:$AD102,8,FALSE)</f>
        <v>4</v>
      </c>
      <c r="AY99" s="14">
        <f>VLOOKUP($AV99,$V99:$AD102,6,FALSE)</f>
        <v>4</v>
      </c>
      <c r="AZ99" s="14" t="str">
        <f>IF(AND($AW99=$AW101,$AX99=$AX101,$AY101&gt;$AY99),$AV101,$AV99)</f>
        <v>BRANDÃO</v>
      </c>
      <c r="BA99" s="14">
        <f>VLOOKUP($AZ99,$V99:$AD102,9,FALSE)</f>
        <v>7</v>
      </c>
      <c r="BB99" s="14">
        <f>VLOOKUP($AZ99,$V99:$AD102,8,FALSE)</f>
        <v>4</v>
      </c>
      <c r="BC99" s="14">
        <f>VLOOKUP($AZ99,$V99:$AD102,6,FALSE)</f>
        <v>4</v>
      </c>
      <c r="BD99" s="14" t="str">
        <f>IF(AND($BA99=$BA102,$BB99=$BB102,$BC102&gt;$BC99),$AZ102,$AZ99)</f>
        <v>BRANDÃO</v>
      </c>
      <c r="BE99" s="14">
        <f>VLOOKUP($BD99,$V99:$AD102,9,FALSE)</f>
        <v>7</v>
      </c>
      <c r="BF99" s="14">
        <f>VLOOKUP($BD99,$V99:$AD102,8,FALSE)</f>
        <v>4</v>
      </c>
      <c r="BG99" s="14">
        <f>VLOOKUP($BD99,$V99:$AD102,6,FALSE)</f>
        <v>4</v>
      </c>
      <c r="BK99" s="14" t="str">
        <f>BD99</f>
        <v>BRANDÃO</v>
      </c>
      <c r="BL99" s="14">
        <f>VLOOKUP($BK99,$V99:$AD102,2,FALSE)</f>
        <v>3</v>
      </c>
      <c r="BM99" s="14">
        <f>VLOOKUP($BK99,$V99:$AD102,3,FALSE)</f>
        <v>2</v>
      </c>
      <c r="BN99" s="14">
        <f>VLOOKUP($BK99,$V99:$AD102,4,FALSE)</f>
        <v>0</v>
      </c>
      <c r="BO99" s="14">
        <f>VLOOKUP($BK99,$V99:$AD102,5,FALSE)</f>
        <v>1</v>
      </c>
      <c r="BP99" s="14">
        <f>VLOOKUP($BK99,$V99:$AD102,6,FALSE)</f>
        <v>4</v>
      </c>
      <c r="BQ99" s="14">
        <f>VLOOKUP($BK99,$V99:$AD102,7,FALSE)</f>
        <v>0</v>
      </c>
      <c r="BR99" s="14">
        <f>VLOOKUP($BK99,$V99:$AD102,8,FALSE)</f>
        <v>4</v>
      </c>
      <c r="BS99" s="14">
        <f>VLOOKUP($BK99,$V99:$AD102,9,FALSE)</f>
        <v>7</v>
      </c>
    </row>
    <row r="100" spans="1:71" ht="13.5" customHeight="1" thickBot="1">
      <c r="A100" s="26">
        <v>13</v>
      </c>
      <c r="B100" s="33">
        <v>9</v>
      </c>
      <c r="C100" s="34" t="str">
        <f>'Chaves 1a.Fase'!A20</f>
        <v>JORGITO</v>
      </c>
      <c r="D100" s="88">
        <v>3</v>
      </c>
      <c r="E100" s="87">
        <v>0</v>
      </c>
      <c r="F100" s="35" t="str">
        <f>'Chaves 1a.Fase'!A21</f>
        <v>EDISON</v>
      </c>
      <c r="G100" s="36" t="str">
        <f>'Chaves 1a.Fase'!A8</f>
        <v>MARCOS JUNQ.</v>
      </c>
      <c r="H100" s="26"/>
      <c r="I100" s="14" t="str">
        <f t="shared" si="12"/>
        <v>JORGITO</v>
      </c>
      <c r="J100" s="14" t="str">
        <f t="shared" si="13"/>
        <v>EDISON</v>
      </c>
      <c r="L100" s="19" t="s">
        <v>62</v>
      </c>
      <c r="M100" s="20"/>
      <c r="N100" s="20"/>
      <c r="O100" s="20"/>
      <c r="P100" s="20"/>
      <c r="Q100" s="20"/>
      <c r="R100" s="20"/>
      <c r="S100" s="20"/>
      <c r="T100" s="21"/>
      <c r="V100" s="14" t="str">
        <f>'Chaves 1a.Fase'!B21</f>
        <v>BRANDÃO</v>
      </c>
      <c r="W100" s="14">
        <f>COUNT(ATLETICO_JOGOS)</f>
        <v>3</v>
      </c>
      <c r="X100" s="14">
        <f>COUNTIF(Groupstage_Winners,'Chaves 1a.Fase'!B21)</f>
        <v>2</v>
      </c>
      <c r="Y100" s="14">
        <f>COUNTIF(Groupstage_Losers,'Chaves 1a.Fase'!B21)</f>
        <v>0</v>
      </c>
      <c r="Z100" s="14">
        <f>W100-(X100+Y100)</f>
        <v>1</v>
      </c>
      <c r="AA100" s="14">
        <f>SUM(ATLETICO_JOGOS)</f>
        <v>4</v>
      </c>
      <c r="AB100" s="14">
        <f>SUM(ATLETICO_ADV)</f>
        <v>0</v>
      </c>
      <c r="AC100" s="14">
        <f>AA100-AB100</f>
        <v>4</v>
      </c>
      <c r="AD100" s="14">
        <f>X100*Winpoints+Z100*Drawpoints</f>
        <v>7</v>
      </c>
      <c r="AE100" s="14" t="str">
        <f>IF($AD100&lt;=$AD99,$V100,$V99)</f>
        <v>TERROZO</v>
      </c>
      <c r="AF100" s="14">
        <f>VLOOKUP($AE100,$V99:$AD102,9,FALSE)</f>
        <v>2</v>
      </c>
      <c r="AG100" s="14" t="str">
        <f>IF(AF100&gt;=AF102,AE100,AE102)</f>
        <v>TERROZO</v>
      </c>
      <c r="AH100" s="14">
        <f>VLOOKUP($AG100,$V99:$AD102,9,FALSE)</f>
        <v>2</v>
      </c>
      <c r="AI100" s="14" t="str">
        <f>IF($AH100&gt;=$AH101,$AG100,$AG101)</f>
        <v>JOSÉ</v>
      </c>
      <c r="AJ100" s="14">
        <f>VLOOKUP($AI100,$V99:$AD102,9,FALSE)</f>
        <v>5</v>
      </c>
      <c r="AK100" s="14">
        <f>VLOOKUP($AI100,$V99:$AD102,8,FALSE)</f>
        <v>2</v>
      </c>
      <c r="AL100" s="14" t="str">
        <f>IF(AND($AJ99=$AJ100,$AK100&gt;$AK99),$AI99,$AI100)</f>
        <v>JOSÉ</v>
      </c>
      <c r="AM100" s="14">
        <f>VLOOKUP($AL100,$V99:$AD102,9,FALSE)</f>
        <v>5</v>
      </c>
      <c r="AN100" s="14">
        <f>VLOOKUP($AL100,$V99:$AD102,8,FALSE)</f>
        <v>2</v>
      </c>
      <c r="AO100" s="14" t="str">
        <f>IF(AND($AM100=$AM102,$AN102&gt;$AN100),$AL102,$AL100)</f>
        <v>JOSÉ</v>
      </c>
      <c r="AP100" s="14">
        <f>VLOOKUP($AO100,$V99:$AD102,9,FALSE)</f>
        <v>5</v>
      </c>
      <c r="AQ100" s="14">
        <f>VLOOKUP($AO100,$V99:$AD102,8,FALSE)</f>
        <v>2</v>
      </c>
      <c r="AR100" s="14" t="str">
        <f>IF(AND($AP100=$AP101,$AQ101&gt;$AQ100),$AO101,$AO100)</f>
        <v>JOSÉ</v>
      </c>
      <c r="AS100" s="14">
        <f>VLOOKUP($AR100,$V99:$AD102,9,FALSE)</f>
        <v>5</v>
      </c>
      <c r="AT100" s="14">
        <f>VLOOKUP($AR100,$V99:$AD102,8,FALSE)</f>
        <v>2</v>
      </c>
      <c r="AU100" s="14">
        <f>VLOOKUP($AR100,$V99:$AD102,6,FALSE)</f>
        <v>3</v>
      </c>
      <c r="AV100" s="14" t="str">
        <f>IF(AND($AS99=$AS100,$AT99=$AT100,$AU100&gt;$AU99),$AR99,$AR100)</f>
        <v>JOSÉ</v>
      </c>
      <c r="AW100" s="14">
        <f>VLOOKUP($AV100,$V99:$AD102,9,FALSE)</f>
        <v>5</v>
      </c>
      <c r="AX100" s="14">
        <f>VLOOKUP($AV100,$V99:$AD102,8,FALSE)</f>
        <v>2</v>
      </c>
      <c r="AY100" s="14">
        <f>VLOOKUP($AV100,$V99:$AD102,6,FALSE)</f>
        <v>3</v>
      </c>
      <c r="AZ100" s="14" t="str">
        <f>IF(AND($AW100=$AW102,$AX100=$AX102,$AY102&gt;$AY100),$AV102,$AV100)</f>
        <v>JOSÉ</v>
      </c>
      <c r="BA100" s="14">
        <f>VLOOKUP($AZ100,$V99:$AD102,9,FALSE)</f>
        <v>5</v>
      </c>
      <c r="BB100" s="14">
        <f>VLOOKUP($AZ100,$V99:$AD102,8,FALSE)</f>
        <v>2</v>
      </c>
      <c r="BC100" s="14">
        <f>VLOOKUP($AZ100,$V99:$AD102,6,FALSE)</f>
        <v>3</v>
      </c>
      <c r="BD100" s="14" t="str">
        <f>IF(AND($BA100=$BA101,$BB100=$BB101,$BC101&gt;$BC100),$AZ101,$AZ100)</f>
        <v>JOSÉ</v>
      </c>
      <c r="BE100" s="14">
        <f>VLOOKUP($BD100,$V99:$AD102,9,FALSE)</f>
        <v>5</v>
      </c>
      <c r="BF100" s="14">
        <f>VLOOKUP($BD100,$V99:$AD102,8,FALSE)</f>
        <v>2</v>
      </c>
      <c r="BG100" s="14">
        <f>VLOOKUP($BD100,$V99:$AD102,6,FALSE)</f>
        <v>3</v>
      </c>
      <c r="BK100" s="14" t="str">
        <f>BD100</f>
        <v>JOSÉ</v>
      </c>
      <c r="BL100" s="14">
        <f>VLOOKUP($BK100,$V99:$AD102,2,FALSE)</f>
        <v>3</v>
      </c>
      <c r="BM100" s="14">
        <f>VLOOKUP($BK100,$V99:$AD102,3,FALSE)</f>
        <v>1</v>
      </c>
      <c r="BN100" s="14">
        <f>VLOOKUP($BK100,$V99:$AD102,4,FALSE)</f>
        <v>0</v>
      </c>
      <c r="BO100" s="14">
        <f>VLOOKUP($BK100,$V99:$AD102,5,FALSE)</f>
        <v>2</v>
      </c>
      <c r="BP100" s="14">
        <f>VLOOKUP($BK100,$V99:$AD102,6,FALSE)</f>
        <v>3</v>
      </c>
      <c r="BQ100" s="14">
        <f>VLOOKUP($BK100,$V99:$AD102,7,FALSE)</f>
        <v>1</v>
      </c>
      <c r="BR100" s="14">
        <f>VLOOKUP($BK100,$V99:$AD102,8,FALSE)</f>
        <v>2</v>
      </c>
      <c r="BS100" s="14">
        <f>VLOOKUP($BK100,$V99:$AD102,9,FALSE)</f>
        <v>5</v>
      </c>
    </row>
    <row r="101" spans="1:71" ht="13.5" customHeight="1" thickBot="1">
      <c r="A101" s="26">
        <v>13</v>
      </c>
      <c r="B101" s="33">
        <v>10</v>
      </c>
      <c r="C101" s="34" t="str">
        <f>'Chaves 1a.Fase'!A22</f>
        <v>BRENO</v>
      </c>
      <c r="D101" s="88">
        <v>1</v>
      </c>
      <c r="E101" s="87">
        <v>0</v>
      </c>
      <c r="F101" s="35" t="str">
        <f>'Chaves 1a.Fase'!A23</f>
        <v>VINÍCIUS</v>
      </c>
      <c r="G101" s="36" t="str">
        <f>'Chaves 1a.Fase'!B8</f>
        <v>FERNANDO</v>
      </c>
      <c r="H101" s="26"/>
      <c r="I101" s="14" t="str">
        <f t="shared" si="12"/>
        <v>BRENO</v>
      </c>
      <c r="J101" s="14" t="str">
        <f t="shared" si="13"/>
        <v>VINÍCIUS</v>
      </c>
      <c r="L101" s="22"/>
      <c r="M101" s="23" t="s">
        <v>83</v>
      </c>
      <c r="N101" s="23" t="s">
        <v>84</v>
      </c>
      <c r="O101" s="23" t="s">
        <v>85</v>
      </c>
      <c r="P101" s="23" t="s">
        <v>86</v>
      </c>
      <c r="Q101" s="23" t="s">
        <v>87</v>
      </c>
      <c r="R101" s="23" t="s">
        <v>88</v>
      </c>
      <c r="S101" s="23" t="s">
        <v>89</v>
      </c>
      <c r="T101" s="24" t="s">
        <v>90</v>
      </c>
      <c r="V101" s="14" t="str">
        <f>'Chaves 1a.Fase'!B22</f>
        <v>JOSÉ</v>
      </c>
      <c r="W101" s="14">
        <f>COUNT(AMERICA_JOGOS)</f>
        <v>3</v>
      </c>
      <c r="X101" s="14">
        <f>COUNTIF(Groupstage_Winners,'Chaves 1a.Fase'!B22)</f>
        <v>1</v>
      </c>
      <c r="Y101" s="14">
        <f>COUNTIF(Groupstage_Losers,'Chaves 1a.Fase'!B22)</f>
        <v>0</v>
      </c>
      <c r="Z101" s="14">
        <f>W101-(X101+Y101)</f>
        <v>2</v>
      </c>
      <c r="AA101" s="14">
        <f>SUM(AMERICA_JOGOS)</f>
        <v>3</v>
      </c>
      <c r="AB101" s="14">
        <f>SUM(AMERICA_ADV)</f>
        <v>1</v>
      </c>
      <c r="AC101" s="14">
        <f>AA101-AB101</f>
        <v>2</v>
      </c>
      <c r="AD101" s="14">
        <f>X101*Winpoints+Z101*Drawpoints</f>
        <v>5</v>
      </c>
      <c r="AE101" s="14" t="str">
        <f>IF($AD101&gt;=$AD102,$V101,$V102)</f>
        <v>JOSÉ</v>
      </c>
      <c r="AF101" s="14">
        <f>VLOOKUP($AE101,$V99:$AD102,9,FALSE)</f>
        <v>5</v>
      </c>
      <c r="AG101" s="14" t="str">
        <f>IF($AF101&lt;=$AF99,$AE101,$AE99)</f>
        <v>JOSÉ</v>
      </c>
      <c r="AH101" s="14">
        <f>VLOOKUP($AG101,$V99:$AD102,9,FALSE)</f>
        <v>5</v>
      </c>
      <c r="AI101" s="14" t="str">
        <f>IF($AH101&lt;=$AH100,$AG101,$AG100)</f>
        <v>TERROZO</v>
      </c>
      <c r="AJ101" s="14">
        <f>VLOOKUP($AI101,$V99:$AD102,9,FALSE)</f>
        <v>2</v>
      </c>
      <c r="AK101" s="14">
        <f>VLOOKUP($AI101,$V99:$AD102,8,FALSE)</f>
        <v>-2</v>
      </c>
      <c r="AL101" s="14" t="str">
        <f>IF(AND($AJ101=$AJ102,$AK102&gt;$AK101),$AI102,$AI101)</f>
        <v>TERROZO</v>
      </c>
      <c r="AM101" s="14">
        <f>VLOOKUP($AL101,$V99:$AD102,9,FALSE)</f>
        <v>2</v>
      </c>
      <c r="AN101" s="14">
        <f>VLOOKUP($AL101,$V99:$AD102,8,FALSE)</f>
        <v>-2</v>
      </c>
      <c r="AO101" s="14" t="str">
        <f>IF(AND($AM99=$AM101,$AN101&gt;$AN99),$AL99,$AL101)</f>
        <v>TERROZO</v>
      </c>
      <c r="AP101" s="14">
        <f>VLOOKUP($AO101,$V99:$AD102,9,FALSE)</f>
        <v>2</v>
      </c>
      <c r="AQ101" s="14">
        <f>VLOOKUP($AO101,$V99:$AD102,8,FALSE)</f>
        <v>-2</v>
      </c>
      <c r="AR101" s="14" t="str">
        <f>IF(AND($AP100=$AP101,$AQ101&gt;$AQ100),$AO100,$AO101)</f>
        <v>TERROZO</v>
      </c>
      <c r="AS101" s="14">
        <f>VLOOKUP($AR101,$V99:$AD102,9,FALSE)</f>
        <v>2</v>
      </c>
      <c r="AT101" s="14">
        <f>VLOOKUP($AR101,$V99:$AD102,8,FALSE)</f>
        <v>-2</v>
      </c>
      <c r="AU101" s="14">
        <f>VLOOKUP($AR101,$V99:$AD102,6,FALSE)</f>
        <v>1</v>
      </c>
      <c r="AV101" s="14" t="str">
        <f>IF(AND($AS101=$AS102,$AT101=$AT102,$AU102&gt;$AU101),$AR102,$AR101)</f>
        <v>TERROZO</v>
      </c>
      <c r="AW101" s="14">
        <f>VLOOKUP($AV101,$V99:$AD102,9,FALSE)</f>
        <v>2</v>
      </c>
      <c r="AX101" s="14">
        <f>VLOOKUP($AV101,$V99:$AD102,8,FALSE)</f>
        <v>-2</v>
      </c>
      <c r="AY101" s="14">
        <f>VLOOKUP($AV101,$V99:$AD102,6,FALSE)</f>
        <v>1</v>
      </c>
      <c r="AZ101" s="14" t="str">
        <f>IF(AND($AW99=$AW101,$AX99=$AX101,$AY101&gt;$AY99),$AV99,$AV101)</f>
        <v>TERROZO</v>
      </c>
      <c r="BA101" s="14">
        <f>VLOOKUP($AZ101,$V99:$AD102,9,FALSE)</f>
        <v>2</v>
      </c>
      <c r="BB101" s="14">
        <f>VLOOKUP($AZ101,$V99:$AD102,8,FALSE)</f>
        <v>-2</v>
      </c>
      <c r="BC101" s="14">
        <f>VLOOKUP($AZ101,$V99:$AD102,6,FALSE)</f>
        <v>1</v>
      </c>
      <c r="BD101" s="14" t="str">
        <f>IF(AND($BA100=$BA101,$BB100=$BB101,$BC101&gt;$BC100),$AZ100,$AZ101)</f>
        <v>TERROZO</v>
      </c>
      <c r="BE101" s="14">
        <f>VLOOKUP($BD101,$V99:$AD102,9,FALSE)</f>
        <v>2</v>
      </c>
      <c r="BF101" s="14">
        <f>VLOOKUP($BD101,$V99:$AD102,8,FALSE)</f>
        <v>-2</v>
      </c>
      <c r="BG101" s="14">
        <f>VLOOKUP($BD101,$V99:$AD102,6,FALSE)</f>
        <v>1</v>
      </c>
      <c r="BK101" s="14" t="str">
        <f>BD101</f>
        <v>TERROZO</v>
      </c>
      <c r="BL101" s="14">
        <f>VLOOKUP($BK101,$V99:$AD102,2,FALSE)</f>
        <v>3</v>
      </c>
      <c r="BM101" s="14">
        <f>VLOOKUP($BK101,$V99:$AD102,3,FALSE)</f>
        <v>0</v>
      </c>
      <c r="BN101" s="14">
        <f>VLOOKUP($BK101,$V99:$AD102,4,FALSE)</f>
        <v>1</v>
      </c>
      <c r="BO101" s="14">
        <f>VLOOKUP($BK101,$V99:$AD102,5,FALSE)</f>
        <v>2</v>
      </c>
      <c r="BP101" s="14">
        <f>VLOOKUP($BK101,$V99:$AD102,6,FALSE)</f>
        <v>1</v>
      </c>
      <c r="BQ101" s="14">
        <f>VLOOKUP($BK101,$V99:$AD102,7,FALSE)</f>
        <v>3</v>
      </c>
      <c r="BR101" s="14">
        <f>VLOOKUP($BK101,$V99:$AD102,8,FALSE)</f>
        <v>-2</v>
      </c>
      <c r="BS101" s="14">
        <f>VLOOKUP($BK101,$V99:$AD102,9,FALSE)</f>
        <v>2</v>
      </c>
    </row>
    <row r="102" spans="1:71" ht="13.5" customHeight="1" thickBot="1">
      <c r="A102" s="26">
        <v>14</v>
      </c>
      <c r="B102" s="33">
        <v>11</v>
      </c>
      <c r="C102" s="34" t="str">
        <f>'Chaves 1a.Fase'!B20</f>
        <v>TERROZO</v>
      </c>
      <c r="D102" s="88">
        <v>0</v>
      </c>
      <c r="E102" s="87">
        <v>2</v>
      </c>
      <c r="F102" s="35" t="str">
        <f>'Chaves 1a.Fase'!B21</f>
        <v>BRANDÃO</v>
      </c>
      <c r="G102" s="36" t="str">
        <f>'Chaves 1a.Fase'!A9</f>
        <v>MICHEL</v>
      </c>
      <c r="H102" s="26"/>
      <c r="I102" s="14" t="str">
        <f t="shared" si="12"/>
        <v>BRANDÃO</v>
      </c>
      <c r="J102" s="14" t="str">
        <f t="shared" si="13"/>
        <v>TERROZO</v>
      </c>
      <c r="L102" s="25" t="str">
        <f aca="true" t="shared" si="18" ref="L102:T105">BK106</f>
        <v>ELISANDRO</v>
      </c>
      <c r="M102" s="26">
        <f t="shared" si="18"/>
        <v>3</v>
      </c>
      <c r="N102" s="26">
        <f t="shared" si="18"/>
        <v>2</v>
      </c>
      <c r="O102" s="26">
        <f t="shared" si="18"/>
        <v>0</v>
      </c>
      <c r="P102" s="26">
        <f t="shared" si="18"/>
        <v>1</v>
      </c>
      <c r="Q102" s="26">
        <f t="shared" si="18"/>
        <v>3</v>
      </c>
      <c r="R102" s="26">
        <f t="shared" si="18"/>
        <v>1</v>
      </c>
      <c r="S102" s="26">
        <f t="shared" si="18"/>
        <v>2</v>
      </c>
      <c r="T102" s="27">
        <f t="shared" si="18"/>
        <v>7</v>
      </c>
      <c r="V102" s="14" t="str">
        <f>'Chaves 1a.Fase'!B23</f>
        <v>SANDRO</v>
      </c>
      <c r="W102" s="14">
        <f>COUNT(PONTE_JOGOS)</f>
        <v>3</v>
      </c>
      <c r="X102" s="14">
        <f>COUNTIF(Groupstage_Winners,'Chaves 1a.Fase'!B23)</f>
        <v>0</v>
      </c>
      <c r="Y102" s="14">
        <f>COUNTIF(Groupstage_Losers,'Chaves 1a.Fase'!B23)</f>
        <v>2</v>
      </c>
      <c r="Z102" s="14">
        <f>W102-(X102+Y102)</f>
        <v>1</v>
      </c>
      <c r="AA102" s="14">
        <f>SUM(PONTE_JOGOS)</f>
        <v>0</v>
      </c>
      <c r="AB102" s="14">
        <f>SUM(PONTE_ADV)</f>
        <v>4</v>
      </c>
      <c r="AC102" s="14">
        <f>AA102-AB102</f>
        <v>-4</v>
      </c>
      <c r="AD102" s="14">
        <f>X102*Winpoints+Z102*Drawpoints</f>
        <v>1</v>
      </c>
      <c r="AE102" s="14" t="str">
        <f>IF($AD102&lt;=$AD101,$V102,$V101)</f>
        <v>SANDRO</v>
      </c>
      <c r="AF102" s="14">
        <f>VLOOKUP($AE102,$V99:$AD102,9,FALSE)</f>
        <v>1</v>
      </c>
      <c r="AG102" s="14" t="str">
        <f>IF(AF102&lt;=AF100,AE102,AE100)</f>
        <v>SANDRO</v>
      </c>
      <c r="AH102" s="14">
        <f>VLOOKUP($AG102,$V99:$AD102,9,FALSE)</f>
        <v>1</v>
      </c>
      <c r="AI102" s="14" t="str">
        <f>IF($AH102&lt;=$AH99,$AG102,$AG99)</f>
        <v>SANDRO</v>
      </c>
      <c r="AJ102" s="14">
        <f>VLOOKUP($AI102,$V99:$AD102,9,FALSE)</f>
        <v>1</v>
      </c>
      <c r="AK102" s="14">
        <f>VLOOKUP($AI102,$V99:$AD102,8,FALSE)</f>
        <v>-4</v>
      </c>
      <c r="AL102" s="14" t="str">
        <f>IF(AND($AJ101=$AJ102,$AK102&gt;$AK101),$AI101,$AI102)</f>
        <v>SANDRO</v>
      </c>
      <c r="AM102" s="14">
        <f>VLOOKUP($AL102,$V99:$AD102,9,FALSE)</f>
        <v>1</v>
      </c>
      <c r="AN102" s="14">
        <f>VLOOKUP($AL102,$V99:$AD102,8,FALSE)</f>
        <v>-4</v>
      </c>
      <c r="AO102" s="14" t="str">
        <f>IF(AND($AM100=$AM102,$AN102&gt;$AN100),$AL100,$AL102)</f>
        <v>SANDRO</v>
      </c>
      <c r="AP102" s="14">
        <f>VLOOKUP($AO102,$V99:$AD102,9,FALSE)</f>
        <v>1</v>
      </c>
      <c r="AQ102" s="14">
        <f>VLOOKUP($AO102,$V99:$AD102,8,FALSE)</f>
        <v>-4</v>
      </c>
      <c r="AR102" s="14" t="str">
        <f>IF(AND($AP99=$AP102,$AQ102&gt;$AQ99),$AO99,$AO102)</f>
        <v>SANDRO</v>
      </c>
      <c r="AS102" s="14">
        <f>VLOOKUP($AR102,$V99:$AD102,9,FALSE)</f>
        <v>1</v>
      </c>
      <c r="AT102" s="14">
        <f>VLOOKUP($AR102,$V99:$AD102,8,FALSE)</f>
        <v>-4</v>
      </c>
      <c r="AU102" s="14">
        <f>VLOOKUP($AR102,$V99:$AD102,6,FALSE)</f>
        <v>0</v>
      </c>
      <c r="AV102" s="14" t="str">
        <f>IF(AND($AS101=$AS102,$AT101=$AT102,$AU102&gt;$AU101),$AR101,$AR102)</f>
        <v>SANDRO</v>
      </c>
      <c r="AW102" s="14">
        <f>VLOOKUP($AV102,$V99:$AD102,9,FALSE)</f>
        <v>1</v>
      </c>
      <c r="AX102" s="14">
        <f>VLOOKUP($AV102,$V99:$AD102,8,FALSE)</f>
        <v>-4</v>
      </c>
      <c r="AY102" s="14">
        <f>VLOOKUP($AV102,$V99:$AD102,6,FALSE)</f>
        <v>0</v>
      </c>
      <c r="AZ102" s="14" t="str">
        <f>IF(AND($AW100=$AW102,$AX100=$AX102,$AY102&gt;$AY100),$AV100,$AV102)</f>
        <v>SANDRO</v>
      </c>
      <c r="BA102" s="14">
        <f>VLOOKUP($AZ102,$V99:$AD102,9,FALSE)</f>
        <v>1</v>
      </c>
      <c r="BB102" s="14">
        <f>VLOOKUP($AZ102,$V99:$AD102,8,FALSE)</f>
        <v>-4</v>
      </c>
      <c r="BC102" s="14">
        <f>VLOOKUP($AZ102,$V99:$AD102,6,FALSE)</f>
        <v>0</v>
      </c>
      <c r="BD102" s="14" t="str">
        <f>IF(AND($BA99=$BA102,$BB99=$BB102,$BC102&gt;$BC99),$AZ99,$AZ102)</f>
        <v>SANDRO</v>
      </c>
      <c r="BE102" s="14">
        <f>VLOOKUP($BD102,$V99:$AD102,9,FALSE)</f>
        <v>1</v>
      </c>
      <c r="BF102" s="14">
        <f>VLOOKUP($BD102,$V99:$AD102,8,FALSE)</f>
        <v>-4</v>
      </c>
      <c r="BG102" s="14">
        <f>VLOOKUP($BD102,$V99:$AD102,6,FALSE)</f>
        <v>0</v>
      </c>
      <c r="BK102" s="14" t="str">
        <f>BD102</f>
        <v>SANDRO</v>
      </c>
      <c r="BL102" s="14">
        <f>VLOOKUP($BK102,$V99:$AD102,2,FALSE)</f>
        <v>3</v>
      </c>
      <c r="BM102" s="14">
        <f>VLOOKUP($BK102,$V99:$AD102,3,FALSE)</f>
        <v>0</v>
      </c>
      <c r="BN102" s="14">
        <f>VLOOKUP($BK102,$V99:$AD102,4,FALSE)</f>
        <v>2</v>
      </c>
      <c r="BO102" s="14">
        <f>VLOOKUP($BK102,$V99:$AD102,5,FALSE)</f>
        <v>1</v>
      </c>
      <c r="BP102" s="14">
        <f>VLOOKUP($BK102,$V99:$AD102,6,FALSE)</f>
        <v>0</v>
      </c>
      <c r="BQ102" s="14">
        <f>VLOOKUP($BK102,$V99:$AD102,7,FALSE)</f>
        <v>4</v>
      </c>
      <c r="BR102" s="14">
        <f>VLOOKUP($BK102,$V99:$AD102,8,FALSE)</f>
        <v>-4</v>
      </c>
      <c r="BS102" s="14">
        <f>VLOOKUP($BK102,$V99:$AD102,9,FALSE)</f>
        <v>1</v>
      </c>
    </row>
    <row r="103" spans="1:20" ht="13.5" customHeight="1" thickBot="1">
      <c r="A103" s="18">
        <v>14</v>
      </c>
      <c r="B103" s="15">
        <v>12</v>
      </c>
      <c r="C103" s="47" t="str">
        <f>'Chaves 1a.Fase'!B22</f>
        <v>JOSÉ</v>
      </c>
      <c r="D103" s="88">
        <v>2</v>
      </c>
      <c r="E103" s="87">
        <v>0</v>
      </c>
      <c r="F103" s="16" t="str">
        <f>'Chaves 1a.Fase'!B23</f>
        <v>SANDRO</v>
      </c>
      <c r="G103" s="14" t="str">
        <f>'Chaves 1a.Fase'!B9</f>
        <v>AUGUSTO</v>
      </c>
      <c r="H103" s="18"/>
      <c r="I103" s="14" t="str">
        <f t="shared" si="12"/>
        <v>JOSÉ</v>
      </c>
      <c r="J103" s="14" t="str">
        <f t="shared" si="13"/>
        <v>SANDRO</v>
      </c>
      <c r="L103" s="25" t="str">
        <f t="shared" si="18"/>
        <v>RUI</v>
      </c>
      <c r="M103" s="26">
        <f t="shared" si="18"/>
        <v>3</v>
      </c>
      <c r="N103" s="26">
        <f t="shared" si="18"/>
        <v>1</v>
      </c>
      <c r="O103" s="26">
        <f t="shared" si="18"/>
        <v>1</v>
      </c>
      <c r="P103" s="26">
        <f t="shared" si="18"/>
        <v>1</v>
      </c>
      <c r="Q103" s="26">
        <f t="shared" si="18"/>
        <v>3</v>
      </c>
      <c r="R103" s="26">
        <f t="shared" si="18"/>
        <v>3</v>
      </c>
      <c r="S103" s="26">
        <f t="shared" si="18"/>
        <v>0</v>
      </c>
      <c r="T103" s="27">
        <f t="shared" si="18"/>
        <v>4</v>
      </c>
    </row>
    <row r="104" spans="1:22" ht="13.5" customHeight="1" thickBot="1">
      <c r="A104" s="18">
        <v>15</v>
      </c>
      <c r="B104" s="15">
        <v>13</v>
      </c>
      <c r="C104" s="47" t="str">
        <f>'Chaves 1a.Fase'!C20</f>
        <v>THIAGO SCH.</v>
      </c>
      <c r="D104" s="88">
        <v>2</v>
      </c>
      <c r="E104" s="87">
        <v>0</v>
      </c>
      <c r="F104" s="16" t="str">
        <f>'Chaves 1a.Fase'!C21</f>
        <v>MATEUS</v>
      </c>
      <c r="G104" s="14" t="str">
        <f>'Chaves 1a.Fase'!C8</f>
        <v>MARQUINHO</v>
      </c>
      <c r="H104" s="18"/>
      <c r="I104" s="14" t="str">
        <f t="shared" si="12"/>
        <v>THIAGO SCH.</v>
      </c>
      <c r="J104" s="14" t="str">
        <f t="shared" si="13"/>
        <v>MATEUS</v>
      </c>
      <c r="L104" s="25" t="str">
        <f t="shared" si="18"/>
        <v>THIAGO SCH.</v>
      </c>
      <c r="M104" s="26">
        <f t="shared" si="18"/>
        <v>3</v>
      </c>
      <c r="N104" s="26">
        <f t="shared" si="18"/>
        <v>1</v>
      </c>
      <c r="O104" s="26">
        <f t="shared" si="18"/>
        <v>2</v>
      </c>
      <c r="P104" s="26">
        <f t="shared" si="18"/>
        <v>0</v>
      </c>
      <c r="Q104" s="26">
        <f t="shared" si="18"/>
        <v>3</v>
      </c>
      <c r="R104" s="26">
        <f t="shared" si="18"/>
        <v>3</v>
      </c>
      <c r="S104" s="26">
        <f t="shared" si="18"/>
        <v>0</v>
      </c>
      <c r="T104" s="27">
        <f t="shared" si="18"/>
        <v>3</v>
      </c>
      <c r="V104" s="14" t="s">
        <v>134</v>
      </c>
    </row>
    <row r="105" spans="1:30" ht="13.5" customHeight="1" thickBot="1">
      <c r="A105" s="18">
        <v>15</v>
      </c>
      <c r="B105" s="15">
        <v>14</v>
      </c>
      <c r="C105" s="47" t="str">
        <f>'Chaves 1a.Fase'!C22</f>
        <v>ELISANDRO</v>
      </c>
      <c r="D105" s="88">
        <v>1</v>
      </c>
      <c r="E105" s="87">
        <v>1</v>
      </c>
      <c r="F105" s="16" t="str">
        <f>'Chaves 1a.Fase'!C23</f>
        <v>RUI</v>
      </c>
      <c r="G105" s="14" t="str">
        <f>'Chaves 1a.Fase'!D8</f>
        <v>ITALO</v>
      </c>
      <c r="H105" s="18"/>
      <c r="I105" s="14" t="str">
        <f t="shared" si="12"/>
        <v>Draw</v>
      </c>
      <c r="J105" s="14" t="str">
        <f t="shared" si="13"/>
        <v>Draw</v>
      </c>
      <c r="L105" s="37" t="str">
        <f t="shared" si="18"/>
        <v>MATEUS</v>
      </c>
      <c r="M105" s="38">
        <f t="shared" si="18"/>
        <v>3</v>
      </c>
      <c r="N105" s="38">
        <f t="shared" si="18"/>
        <v>1</v>
      </c>
      <c r="O105" s="38">
        <f t="shared" si="18"/>
        <v>2</v>
      </c>
      <c r="P105" s="38">
        <f t="shared" si="18"/>
        <v>0</v>
      </c>
      <c r="Q105" s="38">
        <f t="shared" si="18"/>
        <v>1</v>
      </c>
      <c r="R105" s="38">
        <f t="shared" si="18"/>
        <v>3</v>
      </c>
      <c r="S105" s="38">
        <f t="shared" si="18"/>
        <v>-2</v>
      </c>
      <c r="T105" s="39">
        <f t="shared" si="18"/>
        <v>3</v>
      </c>
      <c r="W105" s="14" t="s">
        <v>107</v>
      </c>
      <c r="X105" s="14" t="s">
        <v>108</v>
      </c>
      <c r="Y105" s="14" t="s">
        <v>109</v>
      </c>
      <c r="Z105" s="14" t="s">
        <v>85</v>
      </c>
      <c r="AA105" s="14" t="s">
        <v>110</v>
      </c>
      <c r="AB105" s="14" t="s">
        <v>111</v>
      </c>
      <c r="AC105" s="14" t="s">
        <v>112</v>
      </c>
      <c r="AD105" s="14" t="s">
        <v>113</v>
      </c>
    </row>
    <row r="106" spans="1:71" ht="13.5" customHeight="1" thickBot="1">
      <c r="A106" s="18">
        <v>16</v>
      </c>
      <c r="B106" s="15">
        <v>15</v>
      </c>
      <c r="C106" s="47" t="str">
        <f>'Chaves 1a.Fase'!D20</f>
        <v>ROGÉRIO HAR.</v>
      </c>
      <c r="D106" s="88">
        <v>0</v>
      </c>
      <c r="E106" s="87">
        <v>2</v>
      </c>
      <c r="F106" s="16" t="str">
        <f>'Chaves 1a.Fase'!D21</f>
        <v>ALESSANDRO</v>
      </c>
      <c r="G106" s="14" t="str">
        <f>'Chaves 1a.Fase'!C9</f>
        <v>SINVAL</v>
      </c>
      <c r="H106" s="18"/>
      <c r="I106" s="14" t="str">
        <f t="shared" si="12"/>
        <v>ALESSANDRO</v>
      </c>
      <c r="J106" s="14" t="str">
        <f t="shared" si="13"/>
        <v>ROGÉRIO HAR.</v>
      </c>
      <c r="V106" s="14" t="str">
        <f>'Chaves 1a.Fase'!C20</f>
        <v>THIAGO SCH.</v>
      </c>
      <c r="W106" s="14">
        <f>COUNT(CRB_JOGOS)</f>
        <v>3</v>
      </c>
      <c r="X106" s="14">
        <f>COUNTIF(Groupstage_Winners,'Chaves 1a.Fase'!C20)</f>
        <v>1</v>
      </c>
      <c r="Y106" s="14">
        <f>COUNTIF(Groupstage_Losers,'Chaves 1a.Fase'!C20)</f>
        <v>2</v>
      </c>
      <c r="Z106" s="14">
        <f>W106-(X106+Y106)</f>
        <v>0</v>
      </c>
      <c r="AA106" s="14">
        <f>SUM(CRB_JOGOS)</f>
        <v>3</v>
      </c>
      <c r="AB106" s="14">
        <f>SUM(CRB_ADV)</f>
        <v>3</v>
      </c>
      <c r="AC106" s="14">
        <f>AA106-AB106</f>
        <v>0</v>
      </c>
      <c r="AD106" s="14">
        <f>X106*Winpoints+Z106*Drawpoints</f>
        <v>3</v>
      </c>
      <c r="AE106" s="14" t="str">
        <f>IF($AD106&gt;=$AD107,$V106,$V107)</f>
        <v>THIAGO SCH.</v>
      </c>
      <c r="AF106" s="14">
        <f>VLOOKUP($AE106,$V106:$AD109,9,FALSE)</f>
        <v>3</v>
      </c>
      <c r="AG106" s="14" t="str">
        <f>IF($AF106&gt;=$AF108,$AE106,$AE108)</f>
        <v>ELISANDRO</v>
      </c>
      <c r="AH106" s="14">
        <f>VLOOKUP($AG106,$V106:$AD109,9,FALSE)</f>
        <v>7</v>
      </c>
      <c r="AI106" s="14" t="str">
        <f>IF($AH106&gt;=$AH109,$AG106,$AG109)</f>
        <v>ELISANDRO</v>
      </c>
      <c r="AJ106" s="14">
        <f>VLOOKUP($AI106,$V106:$AD109,9,FALSE)</f>
        <v>7</v>
      </c>
      <c r="AK106" s="14">
        <f>VLOOKUP($AI106,$V106:$AD109,8,FALSE)</f>
        <v>2</v>
      </c>
      <c r="AL106" s="14" t="str">
        <f>IF(AND($AJ106=$AJ107,$AK107&gt;$AK106),$AI107,$AI106)</f>
        <v>ELISANDRO</v>
      </c>
      <c r="AM106" s="14">
        <f>VLOOKUP($AL106,$V106:$AD109,9,FALSE)</f>
        <v>7</v>
      </c>
      <c r="AN106" s="14">
        <f>VLOOKUP($AL106,$V106:$AD109,8,FALSE)</f>
        <v>2</v>
      </c>
      <c r="AO106" s="14" t="str">
        <f>IF(AND($AM106=$AM108,$AN108&gt;$AN106),$AL108,$AL106)</f>
        <v>ELISANDRO</v>
      </c>
      <c r="AP106" s="14">
        <f>VLOOKUP($AO106,$V106:$AD109,9,FALSE)</f>
        <v>7</v>
      </c>
      <c r="AQ106" s="14">
        <f>VLOOKUP($AO106,$V106:$AD109,8,FALSE)</f>
        <v>2</v>
      </c>
      <c r="AR106" s="14" t="str">
        <f>IF(AND($AP106=$AP109,$AQ109&gt;$AQ106),$AO109,$AO106)</f>
        <v>ELISANDRO</v>
      </c>
      <c r="AS106" s="14">
        <f>VLOOKUP($AR106,$V106:$AD109,9,FALSE)</f>
        <v>7</v>
      </c>
      <c r="AT106" s="14">
        <f>VLOOKUP($AR106,$V106:$AD109,8,FALSE)</f>
        <v>2</v>
      </c>
      <c r="AU106" s="14">
        <f>VLOOKUP($AR106,$V106:$AD109,6,FALSE)</f>
        <v>3</v>
      </c>
      <c r="AV106" s="14" t="str">
        <f>IF(AND($AS106=$AS107,$AT106=$AT107,$AU107&gt;$AU106),$AR107,$AR106)</f>
        <v>ELISANDRO</v>
      </c>
      <c r="AW106" s="14">
        <f>VLOOKUP($AV106,$V106:$AD109,9,FALSE)</f>
        <v>7</v>
      </c>
      <c r="AX106" s="14">
        <f>VLOOKUP($AV106,$V106:$AD109,8,FALSE)</f>
        <v>2</v>
      </c>
      <c r="AY106" s="14">
        <f>VLOOKUP($AV106,$V106:$AD109,6,FALSE)</f>
        <v>3</v>
      </c>
      <c r="AZ106" s="14" t="str">
        <f>IF(AND($AW106=$AW108,$AX106=$AX108,$AY108&gt;$AY106),$AV108,$AV106)</f>
        <v>ELISANDRO</v>
      </c>
      <c r="BA106" s="14">
        <f>VLOOKUP($AZ106,$V106:$AD109,9,FALSE)</f>
        <v>7</v>
      </c>
      <c r="BB106" s="14">
        <f>VLOOKUP($AZ106,$V106:$AD109,8,FALSE)</f>
        <v>2</v>
      </c>
      <c r="BC106" s="14">
        <f>VLOOKUP($AZ106,$V106:$AD109,6,FALSE)</f>
        <v>3</v>
      </c>
      <c r="BD106" s="14" t="str">
        <f>IF(AND($BA106=$BA109,$BB106=$BB109,$BC109&gt;$BC106),$AZ109,$AZ106)</f>
        <v>ELISANDRO</v>
      </c>
      <c r="BE106" s="14">
        <f>VLOOKUP($BD106,$V106:$AD109,9,FALSE)</f>
        <v>7</v>
      </c>
      <c r="BF106" s="14">
        <f>VLOOKUP($BD106,$V106:$AD109,8,FALSE)</f>
        <v>2</v>
      </c>
      <c r="BG106" s="14">
        <f>VLOOKUP($BD106,$V106:$AD109,6,FALSE)</f>
        <v>3</v>
      </c>
      <c r="BK106" s="14" t="str">
        <f>BD106</f>
        <v>ELISANDRO</v>
      </c>
      <c r="BL106" s="14">
        <f>VLOOKUP($BK106,$V106:$AD109,2,FALSE)</f>
        <v>3</v>
      </c>
      <c r="BM106" s="14">
        <f>VLOOKUP($BK106,$V106:$AD109,3,FALSE)</f>
        <v>2</v>
      </c>
      <c r="BN106" s="14">
        <f>VLOOKUP($BK106,$V106:$AD109,4,FALSE)</f>
        <v>0</v>
      </c>
      <c r="BO106" s="14">
        <f>VLOOKUP($BK106,$V106:$AD109,5,FALSE)</f>
        <v>1</v>
      </c>
      <c r="BP106" s="14">
        <f>VLOOKUP($BK106,$V106:$AD109,6,FALSE)</f>
        <v>3</v>
      </c>
      <c r="BQ106" s="14">
        <f>VLOOKUP($BK106,$V106:$AD109,7,FALSE)</f>
        <v>1</v>
      </c>
      <c r="BR106" s="14">
        <f>VLOOKUP($BK106,$V106:$AD109,8,FALSE)</f>
        <v>2</v>
      </c>
      <c r="BS106" s="14">
        <f>VLOOKUP($BK106,$V106:$AD109,9,FALSE)</f>
        <v>7</v>
      </c>
    </row>
    <row r="107" spans="1:71" ht="13.5" customHeight="1" thickBot="1">
      <c r="A107" s="18">
        <v>16</v>
      </c>
      <c r="B107" s="15">
        <v>16</v>
      </c>
      <c r="C107" s="47" t="str">
        <f>'Chaves 1a.Fase'!D22</f>
        <v>LEANDRINHO</v>
      </c>
      <c r="D107" s="88">
        <v>3</v>
      </c>
      <c r="E107" s="87">
        <v>0</v>
      </c>
      <c r="F107" s="16" t="str">
        <f>'Chaves 1a.Fase'!D23</f>
        <v>VICTOR</v>
      </c>
      <c r="G107" s="14" t="str">
        <f>'Chaves 1a.Fase'!D9</f>
        <v>AZAMBUJA</v>
      </c>
      <c r="H107" s="18"/>
      <c r="I107" s="14" t="str">
        <f t="shared" si="12"/>
        <v>LEANDRINHO</v>
      </c>
      <c r="J107" s="14" t="str">
        <f t="shared" si="13"/>
        <v>VICTOR</v>
      </c>
      <c r="L107" s="19" t="s">
        <v>63</v>
      </c>
      <c r="M107" s="20"/>
      <c r="N107" s="20"/>
      <c r="O107" s="20"/>
      <c r="P107" s="20"/>
      <c r="Q107" s="20"/>
      <c r="R107" s="20"/>
      <c r="S107" s="20"/>
      <c r="T107" s="21"/>
      <c r="V107" s="14" t="str">
        <f>'Chaves 1a.Fase'!C21</f>
        <v>MATEUS</v>
      </c>
      <c r="W107" s="14">
        <f>COUNT(CSA_JOGOS)</f>
        <v>3</v>
      </c>
      <c r="X107" s="14">
        <f>COUNTIF(Groupstage_Winners,'Chaves 1a.Fase'!C21)</f>
        <v>1</v>
      </c>
      <c r="Y107" s="14">
        <f>COUNTIF(Groupstage_Losers,'Chaves 1a.Fase'!C21)</f>
        <v>2</v>
      </c>
      <c r="Z107" s="14">
        <f>W107-(X107+Y107)</f>
        <v>0</v>
      </c>
      <c r="AA107" s="14">
        <f>SUM(CSA_JOGOS)</f>
        <v>1</v>
      </c>
      <c r="AB107" s="14">
        <f>SUM(CSA_ADV)</f>
        <v>3</v>
      </c>
      <c r="AC107" s="14">
        <f>AA107-AB107</f>
        <v>-2</v>
      </c>
      <c r="AD107" s="14">
        <f>X107*Winpoints+Z107*Drawpoints</f>
        <v>3</v>
      </c>
      <c r="AE107" s="14" t="str">
        <f>IF($AD107&lt;=$AD106,$V107,$V106)</f>
        <v>MATEUS</v>
      </c>
      <c r="AF107" s="14">
        <f>VLOOKUP($AE107,$V106:$AD109,9,FALSE)</f>
        <v>3</v>
      </c>
      <c r="AG107" s="14" t="str">
        <f>IF(AF107&gt;=AF109,AE107,AE109)</f>
        <v>RUI</v>
      </c>
      <c r="AH107" s="14">
        <f>VLOOKUP($AG107,$V106:$AD109,9,FALSE)</f>
        <v>4</v>
      </c>
      <c r="AI107" s="14" t="str">
        <f>IF($AH107&gt;=$AH108,$AG107,$AG108)</f>
        <v>RUI</v>
      </c>
      <c r="AJ107" s="14">
        <f>VLOOKUP($AI107,$V106:$AD109,9,FALSE)</f>
        <v>4</v>
      </c>
      <c r="AK107" s="14">
        <f>VLOOKUP($AI107,$V106:$AD109,8,FALSE)</f>
        <v>0</v>
      </c>
      <c r="AL107" s="14" t="str">
        <f>IF(AND($AJ106=$AJ107,$AK107&gt;$AK106),$AI106,$AI107)</f>
        <v>RUI</v>
      </c>
      <c r="AM107" s="14">
        <f>VLOOKUP($AL107,$V106:$AD109,9,FALSE)</f>
        <v>4</v>
      </c>
      <c r="AN107" s="14">
        <f>VLOOKUP($AL107,$V106:$AD109,8,FALSE)</f>
        <v>0</v>
      </c>
      <c r="AO107" s="14" t="str">
        <f>IF(AND($AM107=$AM109,$AN109&gt;$AN107),$AL109,$AL107)</f>
        <v>RUI</v>
      </c>
      <c r="AP107" s="14">
        <f>VLOOKUP($AO107,$V106:$AD109,9,FALSE)</f>
        <v>4</v>
      </c>
      <c r="AQ107" s="14">
        <f>VLOOKUP($AO107,$V106:$AD109,8,FALSE)</f>
        <v>0</v>
      </c>
      <c r="AR107" s="14" t="str">
        <f>IF(AND($AP107=$AP108,$AQ108&gt;$AQ107),$AO108,$AO107)</f>
        <v>RUI</v>
      </c>
      <c r="AS107" s="14">
        <f>VLOOKUP($AR107,$V106:$AD109,9,FALSE)</f>
        <v>4</v>
      </c>
      <c r="AT107" s="14">
        <f>VLOOKUP($AR107,$V106:$AD109,8,FALSE)</f>
        <v>0</v>
      </c>
      <c r="AU107" s="14">
        <f>VLOOKUP($AR107,$V106:$AD109,6,FALSE)</f>
        <v>3</v>
      </c>
      <c r="AV107" s="14" t="str">
        <f>IF(AND($AS106=$AS107,$AT106=$AT107,$AU107&gt;$AU106),$AR106,$AR107)</f>
        <v>RUI</v>
      </c>
      <c r="AW107" s="14">
        <f>VLOOKUP($AV107,$V106:$AD109,9,FALSE)</f>
        <v>4</v>
      </c>
      <c r="AX107" s="14">
        <f>VLOOKUP($AV107,$V106:$AD109,8,FALSE)</f>
        <v>0</v>
      </c>
      <c r="AY107" s="14">
        <f>VLOOKUP($AV107,$V106:$AD109,6,FALSE)</f>
        <v>3</v>
      </c>
      <c r="AZ107" s="14" t="str">
        <f>IF(AND($AW107=$AW109,$AX107=$AX109,$AY109&gt;$AY107),$AV109,$AV107)</f>
        <v>RUI</v>
      </c>
      <c r="BA107" s="14">
        <f>VLOOKUP($AZ107,$V106:$AD109,9,FALSE)</f>
        <v>4</v>
      </c>
      <c r="BB107" s="14">
        <f>VLOOKUP($AZ107,$V106:$AD109,8,FALSE)</f>
        <v>0</v>
      </c>
      <c r="BC107" s="14">
        <f>VLOOKUP($AZ107,$V106:$AD109,6,FALSE)</f>
        <v>3</v>
      </c>
      <c r="BD107" s="14" t="str">
        <f>IF(AND($BA107=$BA108,$BB107=$BB108,$BC108&gt;$BC107),$AZ108,$AZ107)</f>
        <v>RUI</v>
      </c>
      <c r="BE107" s="14">
        <f>VLOOKUP($BD107,$V106:$AD109,9,FALSE)</f>
        <v>4</v>
      </c>
      <c r="BF107" s="14">
        <f>VLOOKUP($BD107,$V106:$AD109,8,FALSE)</f>
        <v>0</v>
      </c>
      <c r="BG107" s="14">
        <f>VLOOKUP($BD107,$V106:$AD109,6,FALSE)</f>
        <v>3</v>
      </c>
      <c r="BK107" s="14" t="str">
        <f>BD107</f>
        <v>RUI</v>
      </c>
      <c r="BL107" s="14">
        <f>VLOOKUP($BK107,$V106:$AD109,2,FALSE)</f>
        <v>3</v>
      </c>
      <c r="BM107" s="14">
        <f>VLOOKUP($BK107,$V106:$AD109,3,FALSE)</f>
        <v>1</v>
      </c>
      <c r="BN107" s="14">
        <f>VLOOKUP($BK107,$V106:$AD109,4,FALSE)</f>
        <v>1</v>
      </c>
      <c r="BO107" s="14">
        <f>VLOOKUP($BK107,$V106:$AD109,5,FALSE)</f>
        <v>1</v>
      </c>
      <c r="BP107" s="14">
        <f>VLOOKUP($BK107,$V106:$AD109,6,FALSE)</f>
        <v>3</v>
      </c>
      <c r="BQ107" s="14">
        <f>VLOOKUP($BK107,$V106:$AD109,7,FALSE)</f>
        <v>3</v>
      </c>
      <c r="BR107" s="14">
        <f>VLOOKUP($BK107,$V106:$AD109,8,FALSE)</f>
        <v>0</v>
      </c>
      <c r="BS107" s="14">
        <f>VLOOKUP($BK107,$V106:$AD109,9,FALSE)</f>
        <v>4</v>
      </c>
    </row>
    <row r="108" spans="12:71" ht="12.75">
      <c r="L108" s="22"/>
      <c r="M108" s="23" t="s">
        <v>83</v>
      </c>
      <c r="N108" s="23" t="s">
        <v>84</v>
      </c>
      <c r="O108" s="23" t="s">
        <v>85</v>
      </c>
      <c r="P108" s="23" t="s">
        <v>86</v>
      </c>
      <c r="Q108" s="23" t="s">
        <v>87</v>
      </c>
      <c r="R108" s="23" t="s">
        <v>88</v>
      </c>
      <c r="S108" s="23" t="s">
        <v>89</v>
      </c>
      <c r="T108" s="24" t="s">
        <v>90</v>
      </c>
      <c r="V108" s="14" t="str">
        <f>'Chaves 1a.Fase'!C22</f>
        <v>ELISANDRO</v>
      </c>
      <c r="W108" s="14">
        <f>COUNT(NACIONAL_JOGOS)</f>
        <v>3</v>
      </c>
      <c r="X108" s="14">
        <f>COUNTIF(Groupstage_Winners,'Chaves 1a.Fase'!C22)</f>
        <v>2</v>
      </c>
      <c r="Y108" s="14">
        <f>COUNTIF(Groupstage_Losers,'Chaves 1a.Fase'!C22)</f>
        <v>0</v>
      </c>
      <c r="Z108" s="14">
        <f>W108-(X108+Y108)</f>
        <v>1</v>
      </c>
      <c r="AA108" s="14">
        <f>SUM(NACIONAL_JOGOS)</f>
        <v>3</v>
      </c>
      <c r="AB108" s="14">
        <f>SUM(NACIONAL_ADV)</f>
        <v>1</v>
      </c>
      <c r="AC108" s="14">
        <f>AA108-AB108</f>
        <v>2</v>
      </c>
      <c r="AD108" s="14">
        <f>X108*Winpoints+Z108*Drawpoints</f>
        <v>7</v>
      </c>
      <c r="AE108" s="14" t="str">
        <f>IF($AD108&gt;=$AD109,$V108,$V109)</f>
        <v>ELISANDRO</v>
      </c>
      <c r="AF108" s="14">
        <f>VLOOKUP($AE108,$V106:$AD109,9,FALSE)</f>
        <v>7</v>
      </c>
      <c r="AG108" s="14" t="str">
        <f>IF($AF108&lt;=$AF106,$AE108,$AE106)</f>
        <v>THIAGO SCH.</v>
      </c>
      <c r="AH108" s="14">
        <f>VLOOKUP($AG108,$V106:$AD109,9,FALSE)</f>
        <v>3</v>
      </c>
      <c r="AI108" s="14" t="str">
        <f>IF($AH108&lt;=$AH107,$AG108,$AG107)</f>
        <v>THIAGO SCH.</v>
      </c>
      <c r="AJ108" s="14">
        <f>VLOOKUP($AI108,$V106:$AD109,9,FALSE)</f>
        <v>3</v>
      </c>
      <c r="AK108" s="14">
        <f>VLOOKUP($AI108,$V106:$AD109,8,FALSE)</f>
        <v>0</v>
      </c>
      <c r="AL108" s="14" t="str">
        <f>IF(AND($AJ108=$AJ109,$AK109&gt;$AK108),$AI109,$AI108)</f>
        <v>THIAGO SCH.</v>
      </c>
      <c r="AM108" s="14">
        <f>VLOOKUP($AL108,$V106:$AD109,9,FALSE)</f>
        <v>3</v>
      </c>
      <c r="AN108" s="14">
        <f>VLOOKUP($AL108,$V106:$AD109,8,FALSE)</f>
        <v>0</v>
      </c>
      <c r="AO108" s="14" t="str">
        <f>IF(AND($AM106=$AM108,$AN108&gt;$AN106),$AL106,$AL108)</f>
        <v>THIAGO SCH.</v>
      </c>
      <c r="AP108" s="14">
        <f>VLOOKUP($AO108,$V106:$AD109,9,FALSE)</f>
        <v>3</v>
      </c>
      <c r="AQ108" s="14">
        <f>VLOOKUP($AO108,$V106:$AD109,8,FALSE)</f>
        <v>0</v>
      </c>
      <c r="AR108" s="14" t="str">
        <f>IF(AND($AP107=$AP108,$AQ108&gt;$AQ107),$AO107,$AO108)</f>
        <v>THIAGO SCH.</v>
      </c>
      <c r="AS108" s="14">
        <f>VLOOKUP($AR108,$V106:$AD109,9,FALSE)</f>
        <v>3</v>
      </c>
      <c r="AT108" s="14">
        <f>VLOOKUP($AR108,$V106:$AD109,8,FALSE)</f>
        <v>0</v>
      </c>
      <c r="AU108" s="14">
        <f>VLOOKUP($AR108,$V106:$AD109,6,FALSE)</f>
        <v>3</v>
      </c>
      <c r="AV108" s="14" t="str">
        <f>IF(AND($AS108=$AS109,$AT108=$AT109,$AU109&gt;$AU108),$AR109,$AR108)</f>
        <v>THIAGO SCH.</v>
      </c>
      <c r="AW108" s="14">
        <f>VLOOKUP($AV108,$V106:$AD109,9,FALSE)</f>
        <v>3</v>
      </c>
      <c r="AX108" s="14">
        <f>VLOOKUP($AV108,$V106:$AD109,8,FALSE)</f>
        <v>0</v>
      </c>
      <c r="AY108" s="14">
        <f>VLOOKUP($AV108,$V106:$AD109,6,FALSE)</f>
        <v>3</v>
      </c>
      <c r="AZ108" s="14" t="str">
        <f>IF(AND($AW106=$AW108,$AX106=$AX108,$AY108&gt;$AY106),$AV106,$AV108)</f>
        <v>THIAGO SCH.</v>
      </c>
      <c r="BA108" s="14">
        <f>VLOOKUP($AZ108,$V106:$AD109,9,FALSE)</f>
        <v>3</v>
      </c>
      <c r="BB108" s="14">
        <f>VLOOKUP($AZ108,$V106:$AD109,8,FALSE)</f>
        <v>0</v>
      </c>
      <c r="BC108" s="14">
        <f>VLOOKUP($AZ108,$V106:$AD109,6,FALSE)</f>
        <v>3</v>
      </c>
      <c r="BD108" s="14" t="str">
        <f>IF(AND($BA107=$BA108,$BB107=$BB108,$BC108&gt;$BC107),$AZ107,$AZ108)</f>
        <v>THIAGO SCH.</v>
      </c>
      <c r="BE108" s="14">
        <f>VLOOKUP($BD108,$V106:$AD109,9,FALSE)</f>
        <v>3</v>
      </c>
      <c r="BF108" s="14">
        <f>VLOOKUP($BD108,$V106:$AD109,8,FALSE)</f>
        <v>0</v>
      </c>
      <c r="BG108" s="14">
        <f>VLOOKUP($BD108,$V106:$AD109,6,FALSE)</f>
        <v>3</v>
      </c>
      <c r="BK108" s="14" t="str">
        <f>BD108</f>
        <v>THIAGO SCH.</v>
      </c>
      <c r="BL108" s="14">
        <f>VLOOKUP($BK108,$V106:$AD109,2,FALSE)</f>
        <v>3</v>
      </c>
      <c r="BM108" s="14">
        <f>VLOOKUP($BK108,$V106:$AD109,3,FALSE)</f>
        <v>1</v>
      </c>
      <c r="BN108" s="14">
        <f>VLOOKUP($BK108,$V106:$AD109,4,FALSE)</f>
        <v>2</v>
      </c>
      <c r="BO108" s="14">
        <f>VLOOKUP($BK108,$V106:$AD109,5,FALSE)</f>
        <v>0</v>
      </c>
      <c r="BP108" s="14">
        <f>VLOOKUP($BK108,$V106:$AD109,6,FALSE)</f>
        <v>3</v>
      </c>
      <c r="BQ108" s="14">
        <f>VLOOKUP($BK108,$V106:$AD109,7,FALSE)</f>
        <v>3</v>
      </c>
      <c r="BR108" s="14">
        <f>VLOOKUP($BK108,$V106:$AD109,8,FALSE)</f>
        <v>0</v>
      </c>
      <c r="BS108" s="14">
        <f>VLOOKUP($BK108,$V106:$AD109,9,FALSE)</f>
        <v>3</v>
      </c>
    </row>
    <row r="109" spans="12:71" ht="12.75">
      <c r="L109" s="25" t="str">
        <f aca="true" t="shared" si="19" ref="L109:T112">BK113</f>
        <v>ALESSANDRO</v>
      </c>
      <c r="M109" s="26">
        <f t="shared" si="19"/>
        <v>3</v>
      </c>
      <c r="N109" s="26">
        <f t="shared" si="19"/>
        <v>2</v>
      </c>
      <c r="O109" s="26">
        <f t="shared" si="19"/>
        <v>0</v>
      </c>
      <c r="P109" s="26">
        <f t="shared" si="19"/>
        <v>1</v>
      </c>
      <c r="Q109" s="26">
        <f t="shared" si="19"/>
        <v>5</v>
      </c>
      <c r="R109" s="26">
        <f t="shared" si="19"/>
        <v>0</v>
      </c>
      <c r="S109" s="26">
        <f t="shared" si="19"/>
        <v>5</v>
      </c>
      <c r="T109" s="27">
        <f t="shared" si="19"/>
        <v>7</v>
      </c>
      <c r="V109" s="14" t="str">
        <f>'Chaves 1a.Fase'!C23</f>
        <v>RUI</v>
      </c>
      <c r="W109" s="14">
        <f>COUNT(REMO_JOGOS)</f>
        <v>3</v>
      </c>
      <c r="X109" s="14">
        <f>COUNTIF(Groupstage_Winners,'Chaves 1a.Fase'!C23)</f>
        <v>1</v>
      </c>
      <c r="Y109" s="14">
        <f>COUNTIF(Groupstage_Losers,'Chaves 1a.Fase'!C23)</f>
        <v>1</v>
      </c>
      <c r="Z109" s="14">
        <f>W109-(X109+Y109)</f>
        <v>1</v>
      </c>
      <c r="AA109" s="14">
        <f>SUM(REMO_JOGOS)</f>
        <v>3</v>
      </c>
      <c r="AB109" s="14">
        <f>SUM(REMO_ADV)</f>
        <v>3</v>
      </c>
      <c r="AC109" s="14">
        <f>AA109-AB109</f>
        <v>0</v>
      </c>
      <c r="AD109" s="14">
        <f>X109*Winpoints+Z109*Drawpoints</f>
        <v>4</v>
      </c>
      <c r="AE109" s="14" t="str">
        <f>IF($AD109&lt;=$AD108,$V109,$V108)</f>
        <v>RUI</v>
      </c>
      <c r="AF109" s="14">
        <f>VLOOKUP($AE109,$V106:$AD109,9,FALSE)</f>
        <v>4</v>
      </c>
      <c r="AG109" s="14" t="str">
        <f>IF(AF109&lt;=AF107,AE109,AE107)</f>
        <v>MATEUS</v>
      </c>
      <c r="AH109" s="14">
        <f>VLOOKUP($AG109,$V106:$AD109,9,FALSE)</f>
        <v>3</v>
      </c>
      <c r="AI109" s="14" t="str">
        <f>IF($AH109&lt;=$AH106,$AG109,$AG106)</f>
        <v>MATEUS</v>
      </c>
      <c r="AJ109" s="14">
        <f>VLOOKUP($AI109,$V106:$AD109,9,FALSE)</f>
        <v>3</v>
      </c>
      <c r="AK109" s="14">
        <f>VLOOKUP($AI109,$V106:$AD109,8,FALSE)</f>
        <v>-2</v>
      </c>
      <c r="AL109" s="14" t="str">
        <f>IF(AND($AJ108=$AJ109,$AK109&gt;$AK108),$AI108,$AI109)</f>
        <v>MATEUS</v>
      </c>
      <c r="AM109" s="14">
        <f>VLOOKUP($AL109,$V106:$AD109,9,FALSE)</f>
        <v>3</v>
      </c>
      <c r="AN109" s="14">
        <f>VLOOKUP($AL109,$V106:$AD109,8,FALSE)</f>
        <v>-2</v>
      </c>
      <c r="AO109" s="14" t="str">
        <f>IF(AND($AM107=$AM109,$AN109&gt;$AN107),$AL107,$AL109)</f>
        <v>MATEUS</v>
      </c>
      <c r="AP109" s="14">
        <f>VLOOKUP($AO109,$V106:$AD109,9,FALSE)</f>
        <v>3</v>
      </c>
      <c r="AQ109" s="14">
        <f>VLOOKUP($AO109,$V106:$AD109,8,FALSE)</f>
        <v>-2</v>
      </c>
      <c r="AR109" s="14" t="str">
        <f>IF(AND($AP106=$AP109,$AQ109&gt;$AQ106),$AO106,$AO109)</f>
        <v>MATEUS</v>
      </c>
      <c r="AS109" s="14">
        <f>VLOOKUP($AR109,$V106:$AD109,9,FALSE)</f>
        <v>3</v>
      </c>
      <c r="AT109" s="14">
        <f>VLOOKUP($AR109,$V106:$AD109,8,FALSE)</f>
        <v>-2</v>
      </c>
      <c r="AU109" s="14">
        <f>VLOOKUP($AR109,$V106:$AD109,6,FALSE)</f>
        <v>1</v>
      </c>
      <c r="AV109" s="14" t="str">
        <f>IF(AND($AS108=$AS109,$AT108=$AT109,$AU109&gt;$AU108),$AR108,$AR109)</f>
        <v>MATEUS</v>
      </c>
      <c r="AW109" s="14">
        <f>VLOOKUP($AV109,$V106:$AD109,9,FALSE)</f>
        <v>3</v>
      </c>
      <c r="AX109" s="14">
        <f>VLOOKUP($AV109,$V106:$AD109,8,FALSE)</f>
        <v>-2</v>
      </c>
      <c r="AY109" s="14">
        <f>VLOOKUP($AV109,$V106:$AD109,6,FALSE)</f>
        <v>1</v>
      </c>
      <c r="AZ109" s="14" t="str">
        <f>IF(AND($AW107=$AW109,$AX107=$AX109,$AY109&gt;$AY107),$AV107,$AV109)</f>
        <v>MATEUS</v>
      </c>
      <c r="BA109" s="14">
        <f>VLOOKUP($AZ109,$V106:$AD109,9,FALSE)</f>
        <v>3</v>
      </c>
      <c r="BB109" s="14">
        <f>VLOOKUP($AZ109,$V106:$AD109,8,FALSE)</f>
        <v>-2</v>
      </c>
      <c r="BC109" s="14">
        <f>VLOOKUP($AZ109,$V106:$AD109,6,FALSE)</f>
        <v>1</v>
      </c>
      <c r="BD109" s="14" t="str">
        <f>IF(AND($BA106=$BA109,$BB106=$BB109,$BC109&gt;$BC106),$AZ106,$AZ109)</f>
        <v>MATEUS</v>
      </c>
      <c r="BE109" s="14">
        <f>VLOOKUP($BD109,$V106:$AD109,9,FALSE)</f>
        <v>3</v>
      </c>
      <c r="BF109" s="14">
        <f>VLOOKUP($BD109,$V106:$AD109,8,FALSE)</f>
        <v>-2</v>
      </c>
      <c r="BG109" s="14">
        <f>VLOOKUP($BD109,$V106:$AD109,6,FALSE)</f>
        <v>1</v>
      </c>
      <c r="BK109" s="14" t="str">
        <f>BD109</f>
        <v>MATEUS</v>
      </c>
      <c r="BL109" s="14">
        <f>VLOOKUP($BK109,$V106:$AD109,2,FALSE)</f>
        <v>3</v>
      </c>
      <c r="BM109" s="14">
        <f>VLOOKUP($BK109,$V106:$AD109,3,FALSE)</f>
        <v>1</v>
      </c>
      <c r="BN109" s="14">
        <f>VLOOKUP($BK109,$V106:$AD109,4,FALSE)</f>
        <v>2</v>
      </c>
      <c r="BO109" s="14">
        <f>VLOOKUP($BK109,$V106:$AD109,5,FALSE)</f>
        <v>0</v>
      </c>
      <c r="BP109" s="14">
        <f>VLOOKUP($BK109,$V106:$AD109,6,FALSE)</f>
        <v>1</v>
      </c>
      <c r="BQ109" s="14">
        <f>VLOOKUP($BK109,$V106:$AD109,7,FALSE)</f>
        <v>3</v>
      </c>
      <c r="BR109" s="14">
        <f>VLOOKUP($BK109,$V106:$AD109,8,FALSE)</f>
        <v>-2</v>
      </c>
      <c r="BS109" s="14">
        <f>VLOOKUP($BK109,$V106:$AD109,9,FALSE)</f>
        <v>3</v>
      </c>
    </row>
    <row r="110" spans="12:20" ht="12.75">
      <c r="L110" s="25" t="str">
        <f t="shared" si="19"/>
        <v>LEANDRINHO</v>
      </c>
      <c r="M110" s="26">
        <f t="shared" si="19"/>
        <v>3</v>
      </c>
      <c r="N110" s="26">
        <f t="shared" si="19"/>
        <v>1</v>
      </c>
      <c r="O110" s="26">
        <f t="shared" si="19"/>
        <v>0</v>
      </c>
      <c r="P110" s="26">
        <f t="shared" si="19"/>
        <v>2</v>
      </c>
      <c r="Q110" s="26">
        <f t="shared" si="19"/>
        <v>3</v>
      </c>
      <c r="R110" s="26">
        <f t="shared" si="19"/>
        <v>0</v>
      </c>
      <c r="S110" s="26">
        <f t="shared" si="19"/>
        <v>3</v>
      </c>
      <c r="T110" s="27">
        <f t="shared" si="19"/>
        <v>5</v>
      </c>
    </row>
    <row r="111" spans="12:22" ht="12.75">
      <c r="L111" s="25" t="str">
        <f t="shared" si="19"/>
        <v>VICTOR</v>
      </c>
      <c r="M111" s="26">
        <f t="shared" si="19"/>
        <v>3</v>
      </c>
      <c r="N111" s="26">
        <f t="shared" si="19"/>
        <v>1</v>
      </c>
      <c r="O111" s="26">
        <f t="shared" si="19"/>
        <v>2</v>
      </c>
      <c r="P111" s="26">
        <f t="shared" si="19"/>
        <v>0</v>
      </c>
      <c r="Q111" s="26">
        <f t="shared" si="19"/>
        <v>2</v>
      </c>
      <c r="R111" s="26">
        <f t="shared" si="19"/>
        <v>6</v>
      </c>
      <c r="S111" s="26">
        <f t="shared" si="19"/>
        <v>-4</v>
      </c>
      <c r="T111" s="27">
        <f t="shared" si="19"/>
        <v>3</v>
      </c>
      <c r="V111" s="14" t="s">
        <v>135</v>
      </c>
    </row>
    <row r="112" spans="12:30" ht="12.75">
      <c r="L112" s="37" t="str">
        <f t="shared" si="19"/>
        <v>ROGÉRIO HAR.</v>
      </c>
      <c r="M112" s="38">
        <f t="shared" si="19"/>
        <v>3</v>
      </c>
      <c r="N112" s="38">
        <f t="shared" si="19"/>
        <v>0</v>
      </c>
      <c r="O112" s="38">
        <f t="shared" si="19"/>
        <v>2</v>
      </c>
      <c r="P112" s="38">
        <f t="shared" si="19"/>
        <v>1</v>
      </c>
      <c r="Q112" s="38">
        <f t="shared" si="19"/>
        <v>0</v>
      </c>
      <c r="R112" s="38">
        <f t="shared" si="19"/>
        <v>4</v>
      </c>
      <c r="S112" s="38">
        <f t="shared" si="19"/>
        <v>-4</v>
      </c>
      <c r="T112" s="39">
        <f t="shared" si="19"/>
        <v>1</v>
      </c>
      <c r="W112" s="14" t="s">
        <v>107</v>
      </c>
      <c r="X112" s="14" t="s">
        <v>108</v>
      </c>
      <c r="Y112" s="14" t="s">
        <v>109</v>
      </c>
      <c r="Z112" s="14" t="s">
        <v>85</v>
      </c>
      <c r="AA112" s="14" t="s">
        <v>110</v>
      </c>
      <c r="AB112" s="14" t="s">
        <v>111</v>
      </c>
      <c r="AC112" s="14" t="s">
        <v>112</v>
      </c>
      <c r="AD112" s="14" t="s">
        <v>113</v>
      </c>
    </row>
    <row r="113" spans="22:71" ht="12.75">
      <c r="V113" s="14" t="str">
        <f>'Chaves 1a.Fase'!D20</f>
        <v>ROGÉRIO HAR.</v>
      </c>
      <c r="W113" s="14">
        <f>COUNT(SPORT_JOGOS)</f>
        <v>3</v>
      </c>
      <c r="X113" s="14">
        <f>COUNTIF(Groupstage_Winners,'Chaves 1a.Fase'!D20)</f>
        <v>0</v>
      </c>
      <c r="Y113" s="14">
        <f>COUNTIF(Groupstage_Losers,'Chaves 1a.Fase'!D20)</f>
        <v>2</v>
      </c>
      <c r="Z113" s="14">
        <f>W113-(X113+Y113)</f>
        <v>1</v>
      </c>
      <c r="AA113" s="14">
        <f>SUM(SPORT_JOGOS)</f>
        <v>0</v>
      </c>
      <c r="AB113" s="14">
        <f>SUM(SPORT_ADV)</f>
        <v>4</v>
      </c>
      <c r="AC113" s="14">
        <f>AA113-AB113</f>
        <v>-4</v>
      </c>
      <c r="AD113" s="14">
        <f>X113*Winpoints+Z113*Drawpoints</f>
        <v>1</v>
      </c>
      <c r="AE113" s="14" t="str">
        <f>IF($AD113&gt;=$AD114,$V113,$V114)</f>
        <v>ALESSANDRO</v>
      </c>
      <c r="AF113" s="14">
        <f>VLOOKUP($AE113,$V113:$AD116,9,FALSE)</f>
        <v>7</v>
      </c>
      <c r="AG113" s="14" t="str">
        <f>IF($AF113&gt;=$AF115,$AE113,$AE115)</f>
        <v>ALESSANDRO</v>
      </c>
      <c r="AH113" s="14">
        <f>VLOOKUP($AG113,$V113:$AD116,9,FALSE)</f>
        <v>7</v>
      </c>
      <c r="AI113" s="14" t="str">
        <f>IF($AH113&gt;=$AH116,$AG113,$AG116)</f>
        <v>ALESSANDRO</v>
      </c>
      <c r="AJ113" s="14">
        <f>VLOOKUP($AI113,$V113:$AD116,9,FALSE)</f>
        <v>7</v>
      </c>
      <c r="AK113" s="14">
        <f>VLOOKUP($AI113,$V113:$AD116,8,FALSE)</f>
        <v>5</v>
      </c>
      <c r="AL113" s="14" t="str">
        <f>IF(AND($AJ113=$AJ114,$AK114&gt;$AK113),$AI114,$AI113)</f>
        <v>ALESSANDRO</v>
      </c>
      <c r="AM113" s="14">
        <f>VLOOKUP($AL113,$V113:$AD116,9,FALSE)</f>
        <v>7</v>
      </c>
      <c r="AN113" s="14">
        <f>VLOOKUP($AL113,$V113:$AD116,8,FALSE)</f>
        <v>5</v>
      </c>
      <c r="AO113" s="14" t="str">
        <f>IF(AND($AM113=$AM115,$AN115&gt;$AN113),$AL115,$AL113)</f>
        <v>ALESSANDRO</v>
      </c>
      <c r="AP113" s="14">
        <f>VLOOKUP($AO113,$V113:$AD116,9,FALSE)</f>
        <v>7</v>
      </c>
      <c r="AQ113" s="14">
        <f>VLOOKUP($AO113,$V113:$AD116,8,FALSE)</f>
        <v>5</v>
      </c>
      <c r="AR113" s="14" t="str">
        <f>IF(AND($AP113=$AP116,$AQ116&gt;$AQ113),$AO116,$AO113)</f>
        <v>ALESSANDRO</v>
      </c>
      <c r="AS113" s="14">
        <f>VLOOKUP($AR113,$V113:$AD116,9,FALSE)</f>
        <v>7</v>
      </c>
      <c r="AT113" s="14">
        <f>VLOOKUP($AR113,$V113:$AD116,8,FALSE)</f>
        <v>5</v>
      </c>
      <c r="AU113" s="14">
        <f>VLOOKUP($AR113,$V113:$AD116,6,FALSE)</f>
        <v>5</v>
      </c>
      <c r="AV113" s="14" t="str">
        <f>IF(AND($AS113=$AS114,$AT113=$AT114,$AU114&gt;$AU113),$AR114,$AR113)</f>
        <v>ALESSANDRO</v>
      </c>
      <c r="AW113" s="14">
        <f>VLOOKUP($AV113,$V113:$AD116,9,FALSE)</f>
        <v>7</v>
      </c>
      <c r="AX113" s="14">
        <f>VLOOKUP($AV113,$V113:$AD116,8,FALSE)</f>
        <v>5</v>
      </c>
      <c r="AY113" s="14">
        <f>VLOOKUP($AV113,$V113:$AD116,6,FALSE)</f>
        <v>5</v>
      </c>
      <c r="AZ113" s="14" t="str">
        <f>IF(AND($AW113=$AW115,$AX113=$AX115,$AY115&gt;$AY113),$AV115,$AV113)</f>
        <v>ALESSANDRO</v>
      </c>
      <c r="BA113" s="14">
        <f>VLOOKUP($AZ113,$V113:$AD116,9,FALSE)</f>
        <v>7</v>
      </c>
      <c r="BB113" s="14">
        <f>VLOOKUP($AZ113,$V113:$AD116,8,FALSE)</f>
        <v>5</v>
      </c>
      <c r="BC113" s="14">
        <f>VLOOKUP($AZ113,$V113:$AD116,6,FALSE)</f>
        <v>5</v>
      </c>
      <c r="BD113" s="14" t="str">
        <f>IF(AND($BA113=$BA116,$BB113=$BB116,$BC116&gt;$BC113),$AZ116,$AZ113)</f>
        <v>ALESSANDRO</v>
      </c>
      <c r="BE113" s="14">
        <f>VLOOKUP($BD113,$V113:$AD116,9,FALSE)</f>
        <v>7</v>
      </c>
      <c r="BF113" s="14">
        <f>VLOOKUP($BD113,$V113:$AD116,8,FALSE)</f>
        <v>5</v>
      </c>
      <c r="BG113" s="14">
        <f>VLOOKUP($BD113,$V113:$AD116,6,FALSE)</f>
        <v>5</v>
      </c>
      <c r="BK113" s="14" t="str">
        <f>BD113</f>
        <v>ALESSANDRO</v>
      </c>
      <c r="BL113" s="14">
        <f>VLOOKUP($BK113,$V113:$AD116,2,FALSE)</f>
        <v>3</v>
      </c>
      <c r="BM113" s="14">
        <f>VLOOKUP($BK113,$V113:$AD116,3,FALSE)</f>
        <v>2</v>
      </c>
      <c r="BN113" s="14">
        <f>VLOOKUP($BK113,$V113:$AD116,4,FALSE)</f>
        <v>0</v>
      </c>
      <c r="BO113" s="14">
        <f>VLOOKUP($BK113,$V113:$AD116,5,FALSE)</f>
        <v>1</v>
      </c>
      <c r="BP113" s="14">
        <f>VLOOKUP($BK113,$V113:$AD116,6,FALSE)</f>
        <v>5</v>
      </c>
      <c r="BQ113" s="14">
        <f>VLOOKUP($BK113,$V113:$AD116,7,FALSE)</f>
        <v>0</v>
      </c>
      <c r="BR113" s="14">
        <f>VLOOKUP($BK113,$V113:$AD116,8,FALSE)</f>
        <v>5</v>
      </c>
      <c r="BS113" s="14">
        <f>VLOOKUP($BK113,$V113:$AD116,9,FALSE)</f>
        <v>7</v>
      </c>
    </row>
    <row r="114" spans="22:71" ht="12.75">
      <c r="V114" s="14" t="str">
        <f>'Chaves 1a.Fase'!D21</f>
        <v>ALESSANDRO</v>
      </c>
      <c r="W114" s="14">
        <f>COUNT(NAUTICO_JOGOS)</f>
        <v>3</v>
      </c>
      <c r="X114" s="14">
        <f>COUNTIF(Groupstage_Winners,'Chaves 1a.Fase'!D21)</f>
        <v>2</v>
      </c>
      <c r="Y114" s="14">
        <f>COUNTIF(Groupstage_Losers,'Chaves 1a.Fase'!D21)</f>
        <v>0</v>
      </c>
      <c r="Z114" s="14">
        <f>W114-(X114+Y114)</f>
        <v>1</v>
      </c>
      <c r="AA114" s="14">
        <f>SUM(NAUTICO_JOGOS)</f>
        <v>5</v>
      </c>
      <c r="AB114" s="14">
        <f>SUM(NAUTICO_ADV)</f>
        <v>0</v>
      </c>
      <c r="AC114" s="14">
        <f>AA114-AB114</f>
        <v>5</v>
      </c>
      <c r="AD114" s="14">
        <f>X114*Winpoints+Z114*Drawpoints</f>
        <v>7</v>
      </c>
      <c r="AE114" s="14" t="str">
        <f>IF($AD114&lt;=$AD113,$V114,$V113)</f>
        <v>ROGÉRIO HAR.</v>
      </c>
      <c r="AF114" s="14">
        <f>VLOOKUP($AE114,$V113:$AD116,9,FALSE)</f>
        <v>1</v>
      </c>
      <c r="AG114" s="14" t="str">
        <f>IF(AF114&gt;=AF116,AE114,AE116)</f>
        <v>VICTOR</v>
      </c>
      <c r="AH114" s="14">
        <f>VLOOKUP($AG114,$V113:$AD116,9,FALSE)</f>
        <v>3</v>
      </c>
      <c r="AI114" s="14" t="str">
        <f>IF($AH114&gt;=$AH115,$AG114,$AG115)</f>
        <v>LEANDRINHO</v>
      </c>
      <c r="AJ114" s="14">
        <f>VLOOKUP($AI114,$V113:$AD116,9,FALSE)</f>
        <v>5</v>
      </c>
      <c r="AK114" s="14">
        <f>VLOOKUP($AI114,$V113:$AD116,8,FALSE)</f>
        <v>3</v>
      </c>
      <c r="AL114" s="14" t="str">
        <f>IF(AND($AJ113=$AJ114,$AK114&gt;$AK113),$AI113,$AI114)</f>
        <v>LEANDRINHO</v>
      </c>
      <c r="AM114" s="14">
        <f>VLOOKUP($AL114,$V113:$AD116,9,FALSE)</f>
        <v>5</v>
      </c>
      <c r="AN114" s="14">
        <f>VLOOKUP($AL114,$V113:$AD116,8,FALSE)</f>
        <v>3</v>
      </c>
      <c r="AO114" s="14" t="str">
        <f>IF(AND($AM114=$AM116,$AN116&gt;$AN114),$AL116,$AL114)</f>
        <v>LEANDRINHO</v>
      </c>
      <c r="AP114" s="14">
        <f>VLOOKUP($AO114,$V113:$AD116,9,FALSE)</f>
        <v>5</v>
      </c>
      <c r="AQ114" s="14">
        <f>VLOOKUP($AO114,$V113:$AD116,8,FALSE)</f>
        <v>3</v>
      </c>
      <c r="AR114" s="14" t="str">
        <f>IF(AND($AP114=$AP115,$AQ115&gt;$AQ114),$AO115,$AO114)</f>
        <v>LEANDRINHO</v>
      </c>
      <c r="AS114" s="14">
        <f>VLOOKUP($AR114,$V113:$AD116,9,FALSE)</f>
        <v>5</v>
      </c>
      <c r="AT114" s="14">
        <f>VLOOKUP($AR114,$V113:$AD116,8,FALSE)</f>
        <v>3</v>
      </c>
      <c r="AU114" s="14">
        <f>VLOOKUP($AR114,$V113:$AD116,6,FALSE)</f>
        <v>3</v>
      </c>
      <c r="AV114" s="14" t="str">
        <f>IF(AND($AS113=$AS114,$AT113=$AT114,$AU114&gt;$AU113),$AR113,$AR114)</f>
        <v>LEANDRINHO</v>
      </c>
      <c r="AW114" s="14">
        <f>VLOOKUP($AV114,$V113:$AD116,9,FALSE)</f>
        <v>5</v>
      </c>
      <c r="AX114" s="14">
        <f>VLOOKUP($AV114,$V113:$AD116,8,FALSE)</f>
        <v>3</v>
      </c>
      <c r="AY114" s="14">
        <f>VLOOKUP($AV114,$V113:$AD116,6,FALSE)</f>
        <v>3</v>
      </c>
      <c r="AZ114" s="14" t="str">
        <f>IF(AND($AW114=$AW116,$AX114=$AX116,$AY116&gt;$AY114),$AV116,$AV114)</f>
        <v>LEANDRINHO</v>
      </c>
      <c r="BA114" s="14">
        <f>VLOOKUP($AZ114,$V113:$AD116,9,FALSE)</f>
        <v>5</v>
      </c>
      <c r="BB114" s="14">
        <f>VLOOKUP($AZ114,$V113:$AD116,8,FALSE)</f>
        <v>3</v>
      </c>
      <c r="BC114" s="14">
        <f>VLOOKUP($AZ114,$V113:$AD116,6,FALSE)</f>
        <v>3</v>
      </c>
      <c r="BD114" s="14" t="str">
        <f>IF(AND($BA114=$BA115,$BB114=$BB115,$BC115&gt;$BC114),$AZ115,$AZ114)</f>
        <v>LEANDRINHO</v>
      </c>
      <c r="BE114" s="14">
        <f>VLOOKUP($BD114,$V113:$AD116,9,FALSE)</f>
        <v>5</v>
      </c>
      <c r="BF114" s="14">
        <f>VLOOKUP($BD114,$V113:$AD116,8,FALSE)</f>
        <v>3</v>
      </c>
      <c r="BG114" s="14">
        <f>VLOOKUP($BD114,$V113:$AD116,6,FALSE)</f>
        <v>3</v>
      </c>
      <c r="BK114" s="14" t="str">
        <f>BD114</f>
        <v>LEANDRINHO</v>
      </c>
      <c r="BL114" s="14">
        <f>VLOOKUP($BK114,$V113:$AD116,2,FALSE)</f>
        <v>3</v>
      </c>
      <c r="BM114" s="14">
        <f>VLOOKUP($BK114,$V113:$AD116,3,FALSE)</f>
        <v>1</v>
      </c>
      <c r="BN114" s="14">
        <f>VLOOKUP($BK114,$V113:$AD116,4,FALSE)</f>
        <v>0</v>
      </c>
      <c r="BO114" s="14">
        <f>VLOOKUP($BK114,$V113:$AD116,5,FALSE)</f>
        <v>2</v>
      </c>
      <c r="BP114" s="14">
        <f>VLOOKUP($BK114,$V113:$AD116,6,FALSE)</f>
        <v>3</v>
      </c>
      <c r="BQ114" s="14">
        <f>VLOOKUP($BK114,$V113:$AD116,7,FALSE)</f>
        <v>0</v>
      </c>
      <c r="BR114" s="14">
        <f>VLOOKUP($BK114,$V113:$AD116,8,FALSE)</f>
        <v>3</v>
      </c>
      <c r="BS114" s="14">
        <f>VLOOKUP($BK114,$V113:$AD116,9,FALSE)</f>
        <v>5</v>
      </c>
    </row>
    <row r="115" spans="22:71" ht="12.75">
      <c r="V115" s="14" t="str">
        <f>'Chaves 1a.Fase'!D22</f>
        <v>LEANDRINHO</v>
      </c>
      <c r="W115" s="14">
        <f>COUNT(SANTA_JOGOS)</f>
        <v>3</v>
      </c>
      <c r="X115" s="14">
        <f>COUNTIF(Groupstage_Winners,'Chaves 1a.Fase'!D22)</f>
        <v>1</v>
      </c>
      <c r="Y115" s="14">
        <f>COUNTIF(Groupstage_Losers,'Chaves 1a.Fase'!D22)</f>
        <v>0</v>
      </c>
      <c r="Z115" s="14">
        <f>W115-(X115+Y115)</f>
        <v>2</v>
      </c>
      <c r="AA115" s="14">
        <f>SUM(SANTA_JOGOS)</f>
        <v>3</v>
      </c>
      <c r="AB115" s="14">
        <f>SUM(SANTA_ADV)</f>
        <v>0</v>
      </c>
      <c r="AC115" s="14">
        <f>AA115-AB115</f>
        <v>3</v>
      </c>
      <c r="AD115" s="14">
        <f>X115*Winpoints+Z115*Drawpoints</f>
        <v>5</v>
      </c>
      <c r="AE115" s="14" t="str">
        <f>IF($AD115&gt;=$AD116,$V115,$V116)</f>
        <v>LEANDRINHO</v>
      </c>
      <c r="AF115" s="14">
        <f>VLOOKUP($AE115,$V113:$AD116,9,FALSE)</f>
        <v>5</v>
      </c>
      <c r="AG115" s="14" t="str">
        <f>IF($AF115&lt;=$AF113,$AE115,$AE113)</f>
        <v>LEANDRINHO</v>
      </c>
      <c r="AH115" s="14">
        <f>VLOOKUP($AG115,$V113:$AD116,9,FALSE)</f>
        <v>5</v>
      </c>
      <c r="AI115" s="14" t="str">
        <f>IF($AH115&lt;=$AH114,$AG115,$AG114)</f>
        <v>VICTOR</v>
      </c>
      <c r="AJ115" s="14">
        <f>VLOOKUP($AI115,$V113:$AD116,9,FALSE)</f>
        <v>3</v>
      </c>
      <c r="AK115" s="14">
        <f>VLOOKUP($AI115,$V113:$AD116,8,FALSE)</f>
        <v>-4</v>
      </c>
      <c r="AL115" s="14" t="str">
        <f>IF(AND($AJ115=$AJ116,$AK116&gt;$AK115),$AI116,$AI115)</f>
        <v>VICTOR</v>
      </c>
      <c r="AM115" s="14">
        <f>VLOOKUP($AL115,$V113:$AD116,9,FALSE)</f>
        <v>3</v>
      </c>
      <c r="AN115" s="14">
        <f>VLOOKUP($AL115,$V113:$AD116,8,FALSE)</f>
        <v>-4</v>
      </c>
      <c r="AO115" s="14" t="str">
        <f>IF(AND($AM113=$AM115,$AN115&gt;$AN113),$AL113,$AL115)</f>
        <v>VICTOR</v>
      </c>
      <c r="AP115" s="14">
        <f>VLOOKUP($AO115,$V113:$AD116,9,FALSE)</f>
        <v>3</v>
      </c>
      <c r="AQ115" s="14">
        <f>VLOOKUP($AO115,$V113:$AD116,8,FALSE)</f>
        <v>-4</v>
      </c>
      <c r="AR115" s="14" t="str">
        <f>IF(AND($AP114=$AP115,$AQ115&gt;$AQ114),$AO114,$AO115)</f>
        <v>VICTOR</v>
      </c>
      <c r="AS115" s="14">
        <f>VLOOKUP($AR115,$V113:$AD116,9,FALSE)</f>
        <v>3</v>
      </c>
      <c r="AT115" s="14">
        <f>VLOOKUP($AR115,$V113:$AD116,8,FALSE)</f>
        <v>-4</v>
      </c>
      <c r="AU115" s="14">
        <f>VLOOKUP($AR115,$V113:$AD116,6,FALSE)</f>
        <v>2</v>
      </c>
      <c r="AV115" s="14" t="str">
        <f>IF(AND($AS115=$AS116,$AT115=$AT116,$AU116&gt;$AU115),$AR116,$AR115)</f>
        <v>VICTOR</v>
      </c>
      <c r="AW115" s="14">
        <f>VLOOKUP($AV115,$V113:$AD116,9,FALSE)</f>
        <v>3</v>
      </c>
      <c r="AX115" s="14">
        <f>VLOOKUP($AV115,$V113:$AD116,8,FALSE)</f>
        <v>-4</v>
      </c>
      <c r="AY115" s="14">
        <f>VLOOKUP($AV115,$V113:$AD116,6,FALSE)</f>
        <v>2</v>
      </c>
      <c r="AZ115" s="14" t="str">
        <f>IF(AND($AW113=$AW115,$AX113=$AX115,$AY115&gt;$AY113),$AV113,$AV115)</f>
        <v>VICTOR</v>
      </c>
      <c r="BA115" s="14">
        <f>VLOOKUP($AZ115,$V113:$AD116,9,FALSE)</f>
        <v>3</v>
      </c>
      <c r="BB115" s="14">
        <f>VLOOKUP($AZ115,$V113:$AD116,8,FALSE)</f>
        <v>-4</v>
      </c>
      <c r="BC115" s="14">
        <f>VLOOKUP($AZ115,$V113:$AD116,6,FALSE)</f>
        <v>2</v>
      </c>
      <c r="BD115" s="14" t="str">
        <f>IF(AND($BA114=$BA115,$BB114=$BB115,$BC115&gt;$BC114),$AZ114,$AZ115)</f>
        <v>VICTOR</v>
      </c>
      <c r="BE115" s="14">
        <f>VLOOKUP($BD115,$V113:$AD116,9,FALSE)</f>
        <v>3</v>
      </c>
      <c r="BF115" s="14">
        <f>VLOOKUP($BD115,$V113:$AD116,8,FALSE)</f>
        <v>-4</v>
      </c>
      <c r="BG115" s="14">
        <f>VLOOKUP($BD115,$V113:$AD116,6,FALSE)</f>
        <v>2</v>
      </c>
      <c r="BK115" s="14" t="str">
        <f>BD115</f>
        <v>VICTOR</v>
      </c>
      <c r="BL115" s="14">
        <f>VLOOKUP($BK115,$V113:$AD116,2,FALSE)</f>
        <v>3</v>
      </c>
      <c r="BM115" s="14">
        <f>VLOOKUP($BK115,$V113:$AD116,3,FALSE)</f>
        <v>1</v>
      </c>
      <c r="BN115" s="14">
        <f>VLOOKUP($BK115,$V113:$AD116,4,FALSE)</f>
        <v>2</v>
      </c>
      <c r="BO115" s="14">
        <f>VLOOKUP($BK115,$V113:$AD116,5,FALSE)</f>
        <v>0</v>
      </c>
      <c r="BP115" s="14">
        <f>VLOOKUP($BK115,$V113:$AD116,6,FALSE)</f>
        <v>2</v>
      </c>
      <c r="BQ115" s="14">
        <f>VLOOKUP($BK115,$V113:$AD116,7,FALSE)</f>
        <v>6</v>
      </c>
      <c r="BR115" s="14">
        <f>VLOOKUP($BK115,$V113:$AD116,8,FALSE)</f>
        <v>-4</v>
      </c>
      <c r="BS115" s="14">
        <f>VLOOKUP($BK115,$V113:$AD116,9,FALSE)</f>
        <v>3</v>
      </c>
    </row>
    <row r="116" spans="22:71" ht="12.75">
      <c r="V116" s="14" t="str">
        <f>'Chaves 1a.Fase'!D23</f>
        <v>VICTOR</v>
      </c>
      <c r="W116" s="14">
        <f>COUNT(BAHIA_JOGOS)</f>
        <v>3</v>
      </c>
      <c r="X116" s="14">
        <f>COUNTIF(Groupstage_Winners,'Chaves 1a.Fase'!D23)</f>
        <v>1</v>
      </c>
      <c r="Y116" s="14">
        <f>COUNTIF(Groupstage_Losers,'Chaves 1a.Fase'!D23)</f>
        <v>2</v>
      </c>
      <c r="Z116" s="14">
        <f>W116-(X116+Y116)</f>
        <v>0</v>
      </c>
      <c r="AA116" s="14">
        <f>SUM(BAHIA_JOGOS)</f>
        <v>2</v>
      </c>
      <c r="AB116" s="14">
        <f>SUM(BAHIA_ADV)</f>
        <v>6</v>
      </c>
      <c r="AC116" s="14">
        <f>AA116-AB116</f>
        <v>-4</v>
      </c>
      <c r="AD116" s="14">
        <f>X116*Winpoints+Z116*Drawpoints</f>
        <v>3</v>
      </c>
      <c r="AE116" s="14" t="str">
        <f>IF($AD116&lt;=$AD115,$V116,$V115)</f>
        <v>VICTOR</v>
      </c>
      <c r="AF116" s="14">
        <f>VLOOKUP($AE116,$V113:$AD116,9,FALSE)</f>
        <v>3</v>
      </c>
      <c r="AG116" s="14" t="str">
        <f>IF(AF116&lt;=AF114,AE116,AE114)</f>
        <v>ROGÉRIO HAR.</v>
      </c>
      <c r="AH116" s="14">
        <f>VLOOKUP($AG116,$V113:$AD116,9,FALSE)</f>
        <v>1</v>
      </c>
      <c r="AI116" s="14" t="str">
        <f>IF($AH116&lt;=$AH113,$AG116,$AG113)</f>
        <v>ROGÉRIO HAR.</v>
      </c>
      <c r="AJ116" s="14">
        <f>VLOOKUP($AI116,$V113:$AD116,9,FALSE)</f>
        <v>1</v>
      </c>
      <c r="AK116" s="14">
        <f>VLOOKUP($AI116,$V113:$AD116,8,FALSE)</f>
        <v>-4</v>
      </c>
      <c r="AL116" s="14" t="str">
        <f>IF(AND($AJ115=$AJ116,$AK116&gt;$AK115),$AI115,$AI116)</f>
        <v>ROGÉRIO HAR.</v>
      </c>
      <c r="AM116" s="14">
        <f>VLOOKUP($AL116,$V113:$AD116,9,FALSE)</f>
        <v>1</v>
      </c>
      <c r="AN116" s="14">
        <f>VLOOKUP($AL116,$V113:$AD116,8,FALSE)</f>
        <v>-4</v>
      </c>
      <c r="AO116" s="14" t="str">
        <f>IF(AND($AM114=$AM116,$AN116&gt;$AN114),$AL114,$AL116)</f>
        <v>ROGÉRIO HAR.</v>
      </c>
      <c r="AP116" s="14">
        <f>VLOOKUP($AO116,$V113:$AD116,9,FALSE)</f>
        <v>1</v>
      </c>
      <c r="AQ116" s="14">
        <f>VLOOKUP($AO116,$V113:$AD116,8,FALSE)</f>
        <v>-4</v>
      </c>
      <c r="AR116" s="14" t="str">
        <f>IF(AND($AP113=$AP116,$AQ116&gt;$AQ113),$AO113,$AO116)</f>
        <v>ROGÉRIO HAR.</v>
      </c>
      <c r="AS116" s="14">
        <f>VLOOKUP($AR116,$V113:$AD116,9,FALSE)</f>
        <v>1</v>
      </c>
      <c r="AT116" s="14">
        <f>VLOOKUP($AR116,$V113:$AD116,8,FALSE)</f>
        <v>-4</v>
      </c>
      <c r="AU116" s="14">
        <f>VLOOKUP($AR116,$V113:$AD116,6,FALSE)</f>
        <v>0</v>
      </c>
      <c r="AV116" s="14" t="str">
        <f>IF(AND($AS115=$AS116,$AT115=$AT116,$AU116&gt;$AU115),$AR115,$AR116)</f>
        <v>ROGÉRIO HAR.</v>
      </c>
      <c r="AW116" s="14">
        <f>VLOOKUP($AV116,$V113:$AD116,9,FALSE)</f>
        <v>1</v>
      </c>
      <c r="AX116" s="14">
        <f>VLOOKUP($AV116,$V113:$AD116,8,FALSE)</f>
        <v>-4</v>
      </c>
      <c r="AY116" s="14">
        <f>VLOOKUP($AV116,$V113:$AD116,6,FALSE)</f>
        <v>0</v>
      </c>
      <c r="AZ116" s="14" t="str">
        <f>IF(AND($AW114=$AW116,$AX114=$AX116,$AY116&gt;$AY114),$AV114,$AV116)</f>
        <v>ROGÉRIO HAR.</v>
      </c>
      <c r="BA116" s="14">
        <f>VLOOKUP($AZ116,$V113:$AD116,9,FALSE)</f>
        <v>1</v>
      </c>
      <c r="BB116" s="14">
        <f>VLOOKUP($AZ116,$V113:$AD116,8,FALSE)</f>
        <v>-4</v>
      </c>
      <c r="BC116" s="14">
        <f>VLOOKUP($AZ116,$V113:$AD116,6,FALSE)</f>
        <v>0</v>
      </c>
      <c r="BD116" s="14" t="str">
        <f>IF(AND($BA113=$BA116,$BB113=$BB116,$BC116&gt;$BC113),$AZ113,$AZ116)</f>
        <v>ROGÉRIO HAR.</v>
      </c>
      <c r="BE116" s="14">
        <f>VLOOKUP($BD116,$V113:$AD116,9,FALSE)</f>
        <v>1</v>
      </c>
      <c r="BF116" s="14">
        <f>VLOOKUP($BD116,$V113:$AD116,8,FALSE)</f>
        <v>-4</v>
      </c>
      <c r="BG116" s="14">
        <f>VLOOKUP($BD116,$V113:$AD116,6,FALSE)</f>
        <v>0</v>
      </c>
      <c r="BK116" s="14" t="str">
        <f>BD116</f>
        <v>ROGÉRIO HAR.</v>
      </c>
      <c r="BL116" s="14">
        <f>VLOOKUP($BK116,$V113:$AD116,2,FALSE)</f>
        <v>3</v>
      </c>
      <c r="BM116" s="14">
        <f>VLOOKUP($BK116,$V113:$AD116,3,FALSE)</f>
        <v>0</v>
      </c>
      <c r="BN116" s="14">
        <f>VLOOKUP($BK116,$V113:$AD116,4,FALSE)</f>
        <v>2</v>
      </c>
      <c r="BO116" s="14">
        <f>VLOOKUP($BK116,$V113:$AD116,5,FALSE)</f>
        <v>1</v>
      </c>
      <c r="BP116" s="14">
        <f>VLOOKUP($BK116,$V113:$AD116,6,FALSE)</f>
        <v>0</v>
      </c>
      <c r="BQ116" s="14">
        <f>VLOOKUP($BK116,$V113:$AD116,7,FALSE)</f>
        <v>4</v>
      </c>
      <c r="BR116" s="14">
        <f>VLOOKUP($BK116,$V113:$AD116,8,FALSE)</f>
        <v>-4</v>
      </c>
      <c r="BS116" s="14">
        <f>VLOOKUP($BK116,$V113:$AD116,9,FALSE)</f>
        <v>1</v>
      </c>
    </row>
  </sheetData>
  <sheetProtection password="EA4E" sheet="1" objects="1" scenarios="1"/>
  <printOptions horizontalCentered="1"/>
  <pageMargins left="0.1968503937007874" right="0" top="0.7086614173228347" bottom="0.5905511811023623" header="0.2362204724409449" footer="0.5118110236220472"/>
  <pageSetup horizontalDpi="300" verticalDpi="300" orientation="portrait" paperSize="9" scale="90" r:id="rId2"/>
  <rowBreaks count="1" manualBreakCount="1">
    <brk id="5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RowColHeaders="0" zoomScalePageLayoutView="0" workbookViewId="0" topLeftCell="A1">
      <selection activeCell="D12" sqref="D12"/>
    </sheetView>
  </sheetViews>
  <sheetFormatPr defaultColWidth="9.140625" defaultRowHeight="12.75"/>
  <cols>
    <col min="1" max="4" width="25.7109375" style="11" customWidth="1"/>
    <col min="5" max="16384" width="9.140625" style="11" customWidth="1"/>
  </cols>
  <sheetData>
    <row r="1" spans="1:4" ht="15" customHeight="1">
      <c r="A1" s="9" t="s">
        <v>136</v>
      </c>
      <c r="B1" s="10" t="s">
        <v>137</v>
      </c>
      <c r="C1" s="9" t="s">
        <v>138</v>
      </c>
      <c r="D1" s="10" t="s">
        <v>139</v>
      </c>
    </row>
    <row r="2" spans="1:4" ht="15" customHeight="1">
      <c r="A2" s="1" t="s">
        <v>46</v>
      </c>
      <c r="B2" s="2" t="s">
        <v>54</v>
      </c>
      <c r="C2" s="2" t="s">
        <v>69</v>
      </c>
      <c r="D2" s="2" t="s">
        <v>72</v>
      </c>
    </row>
    <row r="3" spans="1:4" ht="15" customHeight="1">
      <c r="A3" s="2" t="s">
        <v>30</v>
      </c>
      <c r="B3" s="2" t="s">
        <v>14</v>
      </c>
      <c r="C3" s="2" t="s">
        <v>59</v>
      </c>
      <c r="D3" s="2" t="s">
        <v>238</v>
      </c>
    </row>
    <row r="4" spans="1:4" ht="15" customHeight="1">
      <c r="A4" s="2" t="s">
        <v>11</v>
      </c>
      <c r="B4" s="2" t="s">
        <v>35</v>
      </c>
      <c r="C4" s="2" t="s">
        <v>39</v>
      </c>
      <c r="D4" s="2" t="s">
        <v>51</v>
      </c>
    </row>
    <row r="5" spans="1:4" ht="15" customHeight="1">
      <c r="A5" s="2" t="s">
        <v>78</v>
      </c>
      <c r="B5" s="2" t="s">
        <v>44</v>
      </c>
      <c r="C5" s="3" t="s">
        <v>52</v>
      </c>
      <c r="D5" s="2" t="s">
        <v>74</v>
      </c>
    </row>
    <row r="6" spans="1:4" ht="57.75" customHeight="1">
      <c r="A6" s="8"/>
      <c r="B6" s="8"/>
      <c r="C6" s="8"/>
      <c r="D6" s="8"/>
    </row>
    <row r="7" spans="1:4" ht="15" customHeight="1">
      <c r="A7" s="9" t="s">
        <v>140</v>
      </c>
      <c r="B7" s="10" t="s">
        <v>141</v>
      </c>
      <c r="C7" s="9" t="s">
        <v>142</v>
      </c>
      <c r="D7" s="10" t="s">
        <v>143</v>
      </c>
    </row>
    <row r="8" spans="1:4" ht="15" customHeight="1">
      <c r="A8" s="2" t="s">
        <v>6</v>
      </c>
      <c r="B8" s="2" t="s">
        <v>9</v>
      </c>
      <c r="C8" s="2" t="s">
        <v>8</v>
      </c>
      <c r="D8" s="2" t="s">
        <v>239</v>
      </c>
    </row>
    <row r="9" spans="1:4" ht="15" customHeight="1">
      <c r="A9" s="2" t="s">
        <v>28</v>
      </c>
      <c r="B9" s="2" t="s">
        <v>26</v>
      </c>
      <c r="C9" s="2" t="s">
        <v>71</v>
      </c>
      <c r="D9" s="2" t="s">
        <v>32</v>
      </c>
    </row>
    <row r="10" spans="1:4" ht="15" customHeight="1">
      <c r="A10" s="2" t="s">
        <v>73</v>
      </c>
      <c r="B10" s="2" t="s">
        <v>75</v>
      </c>
      <c r="C10" s="2" t="s">
        <v>57</v>
      </c>
      <c r="D10" s="2" t="s">
        <v>33</v>
      </c>
    </row>
    <row r="11" spans="1:4" ht="15" customHeight="1">
      <c r="A11" s="2" t="s">
        <v>15</v>
      </c>
      <c r="B11" s="2" t="s">
        <v>16</v>
      </c>
      <c r="C11" s="2" t="s">
        <v>37</v>
      </c>
      <c r="D11" s="2" t="s">
        <v>53</v>
      </c>
    </row>
    <row r="14" ht="12.75">
      <c r="A14" s="8"/>
    </row>
  </sheetData>
  <sheetProtection password="EA4E" sheet="1" objects="1" scenarios="1"/>
  <printOptions horizontalCentered="1"/>
  <pageMargins left="1.5748031496062993" right="1.5748031496062993" top="1.4566929133858268" bottom="0.984251968503937" header="0.5118110236220472" footer="0.5118110236220472"/>
  <pageSetup horizontalDpi="300" verticalDpi="300" orientation="landscape" paperSize="9" r:id="rId2"/>
  <headerFooter alignWithMargins="0">
    <oddHeader>&amp;C&amp;"Arial,Negrito"&amp;16CHAVES 2a. FASE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2"/>
  <sheetViews>
    <sheetView showGridLines="0" showRowColHeaders="0" zoomScalePageLayoutView="0" workbookViewId="0" topLeftCell="A1">
      <selection activeCell="K1" sqref="K1"/>
    </sheetView>
  </sheetViews>
  <sheetFormatPr defaultColWidth="9.140625" defaultRowHeight="12.75"/>
  <cols>
    <col min="1" max="1" width="4.8515625" style="14" customWidth="1"/>
    <col min="2" max="2" width="3.7109375" style="15" customWidth="1"/>
    <col min="3" max="3" width="15.8515625" style="47" customWidth="1"/>
    <col min="4" max="4" width="3.00390625" style="16" customWidth="1"/>
    <col min="5" max="5" width="3.00390625" style="14" customWidth="1"/>
    <col min="6" max="6" width="15.8515625" style="16" customWidth="1"/>
    <col min="7" max="7" width="15.8515625" style="14" customWidth="1"/>
    <col min="8" max="8" width="0.9921875" style="14" customWidth="1"/>
    <col min="9" max="9" width="10.8515625" style="14" hidden="1" customWidth="1"/>
    <col min="10" max="10" width="0" style="14" hidden="1" customWidth="1"/>
    <col min="11" max="11" width="4.7109375" style="14" customWidth="1"/>
    <col min="12" max="12" width="14.00390625" style="14" customWidth="1"/>
    <col min="13" max="13" width="2.28125" style="18" customWidth="1"/>
    <col min="14" max="14" width="2.8515625" style="18" customWidth="1"/>
    <col min="15" max="15" width="2.00390625" style="18" customWidth="1"/>
    <col min="16" max="16" width="2.28125" style="18" customWidth="1"/>
    <col min="17" max="17" width="4.00390625" style="18" customWidth="1"/>
    <col min="18" max="18" width="4.140625" style="18" customWidth="1"/>
    <col min="19" max="19" width="4.00390625" style="18" customWidth="1"/>
    <col min="20" max="20" width="3.8515625" style="18" customWidth="1"/>
    <col min="21" max="21" width="6.28125" style="14" customWidth="1"/>
    <col min="22" max="23" width="9.140625" style="14" hidden="1" customWidth="1"/>
    <col min="24" max="24" width="2.8515625" style="14" hidden="1" customWidth="1"/>
    <col min="25" max="25" width="2.00390625" style="14" hidden="1" customWidth="1"/>
    <col min="26" max="26" width="2.28125" style="14" hidden="1" customWidth="1"/>
    <col min="27" max="27" width="2.140625" style="14" hidden="1" customWidth="1"/>
    <col min="28" max="28" width="2.28125" style="14" hidden="1" customWidth="1"/>
    <col min="29" max="29" width="3.7109375" style="14" hidden="1" customWidth="1"/>
    <col min="30" max="30" width="6.28125" style="14" hidden="1" customWidth="1"/>
    <col min="31" max="71" width="9.140625" style="14" hidden="1" customWidth="1"/>
    <col min="72" max="72" width="0" style="14" hidden="1" customWidth="1"/>
    <col min="73" max="16384" width="9.140625" style="14" customWidth="1"/>
  </cols>
  <sheetData>
    <row r="1" spans="4:11" ht="54.75" customHeight="1">
      <c r="D1" s="17"/>
      <c r="E1" s="75" t="s">
        <v>80</v>
      </c>
      <c r="F1" s="76"/>
      <c r="G1" s="76"/>
      <c r="H1" s="17"/>
      <c r="I1" s="17"/>
      <c r="J1" s="17"/>
      <c r="K1" s="17"/>
    </row>
    <row r="2" ht="12.75"/>
    <row r="3" spans="9:56" ht="11.25" customHeight="1">
      <c r="I3" s="14" t="s">
        <v>81</v>
      </c>
      <c r="J3" s="14" t="s">
        <v>82</v>
      </c>
      <c r="V3" s="14" t="s">
        <v>91</v>
      </c>
      <c r="AE3" s="14" t="s">
        <v>92</v>
      </c>
      <c r="AG3" s="14" t="s">
        <v>93</v>
      </c>
      <c r="AI3" s="14" t="s">
        <v>94</v>
      </c>
      <c r="AL3" s="14" t="s">
        <v>95</v>
      </c>
      <c r="AO3" s="14" t="s">
        <v>96</v>
      </c>
      <c r="AR3" s="14" t="s">
        <v>97</v>
      </c>
      <c r="AV3" s="14" t="s">
        <v>98</v>
      </c>
      <c r="AZ3" s="14" t="s">
        <v>99</v>
      </c>
      <c r="BD3" s="14" t="s">
        <v>100</v>
      </c>
    </row>
    <row r="4" spans="1:20" ht="15">
      <c r="A4" s="71" t="s">
        <v>144</v>
      </c>
      <c r="B4" s="72"/>
      <c r="C4" s="72"/>
      <c r="D4" s="72"/>
      <c r="E4" s="72"/>
      <c r="F4" s="72"/>
      <c r="G4" s="72"/>
      <c r="H4" s="73"/>
      <c r="L4" s="19" t="s">
        <v>145</v>
      </c>
      <c r="M4" s="20"/>
      <c r="N4" s="20"/>
      <c r="O4" s="20"/>
      <c r="P4" s="20"/>
      <c r="Q4" s="20"/>
      <c r="R4" s="20"/>
      <c r="S4" s="20"/>
      <c r="T4" s="21"/>
    </row>
    <row r="5" spans="1:20" ht="15">
      <c r="A5" s="28" t="s">
        <v>102</v>
      </c>
      <c r="B5" s="29" t="s">
        <v>103</v>
      </c>
      <c r="C5" s="31"/>
      <c r="D5" s="30"/>
      <c r="E5" s="30"/>
      <c r="F5" s="30"/>
      <c r="G5" s="31" t="s">
        <v>104</v>
      </c>
      <c r="H5" s="32"/>
      <c r="L5" s="22"/>
      <c r="M5" s="23" t="s">
        <v>83</v>
      </c>
      <c r="N5" s="23" t="s">
        <v>84</v>
      </c>
      <c r="O5" s="23" t="s">
        <v>85</v>
      </c>
      <c r="P5" s="23" t="s">
        <v>86</v>
      </c>
      <c r="Q5" s="23" t="s">
        <v>87</v>
      </c>
      <c r="R5" s="23" t="s">
        <v>88</v>
      </c>
      <c r="S5" s="23" t="s">
        <v>89</v>
      </c>
      <c r="T5" s="24" t="s">
        <v>90</v>
      </c>
    </row>
    <row r="6" spans="1:22" ht="15" customHeight="1" thickBot="1">
      <c r="A6" s="74" t="s">
        <v>146</v>
      </c>
      <c r="B6" s="74"/>
      <c r="C6" s="74"/>
      <c r="D6" s="74"/>
      <c r="E6" s="74"/>
      <c r="F6" s="74"/>
      <c r="G6" s="74"/>
      <c r="H6" s="74"/>
      <c r="L6" s="25" t="str">
        <f>BK8</f>
        <v>JOÃO GARIMA</v>
      </c>
      <c r="M6" s="26">
        <f aca="true" t="shared" si="0" ref="M6:T9">BL8</f>
        <v>3</v>
      </c>
      <c r="N6" s="26">
        <f t="shared" si="0"/>
        <v>2</v>
      </c>
      <c r="O6" s="26">
        <f t="shared" si="0"/>
        <v>0</v>
      </c>
      <c r="P6" s="26">
        <f t="shared" si="0"/>
        <v>1</v>
      </c>
      <c r="Q6" s="26">
        <f t="shared" si="0"/>
        <v>4</v>
      </c>
      <c r="R6" s="26">
        <f t="shared" si="0"/>
        <v>1</v>
      </c>
      <c r="S6" s="26">
        <f t="shared" si="0"/>
        <v>3</v>
      </c>
      <c r="T6" s="27">
        <f t="shared" si="0"/>
        <v>7</v>
      </c>
      <c r="V6" s="14" t="s">
        <v>147</v>
      </c>
    </row>
    <row r="7" spans="1:71" ht="13.5" customHeight="1" thickBot="1">
      <c r="A7" s="26">
        <v>17</v>
      </c>
      <c r="B7" s="33">
        <v>1</v>
      </c>
      <c r="C7" s="34" t="str">
        <f>'Chaves 2a.Fase'!A2</f>
        <v>JOÃO GARIMA</v>
      </c>
      <c r="D7" s="49">
        <v>1</v>
      </c>
      <c r="E7" s="48">
        <v>0</v>
      </c>
      <c r="F7" s="35" t="str">
        <f>'Chaves 2a.Fase'!A5</f>
        <v>RUI</v>
      </c>
      <c r="G7" s="36" t="str">
        <f>'Carnet 1a.Fase'!L63</f>
        <v>DANI</v>
      </c>
      <c r="H7" s="26"/>
      <c r="I7" s="14" t="str">
        <f aca="true" t="shared" si="1" ref="I7:I56">IF(D7&lt;&gt;"",IF(D7&gt;E7,C7,IF(E7&gt;D7,F7,"Draw")),"")</f>
        <v>JOÃO GARIMA</v>
      </c>
      <c r="J7" s="14" t="str">
        <f aca="true" t="shared" si="2" ref="J7:J56">IF(D7&lt;&gt;"",IF(D7&lt;E7,C7,IF(E7&lt;D7,F7,"Draw")),"")</f>
        <v>RUI</v>
      </c>
      <c r="L7" s="25" t="str">
        <f>BK9</f>
        <v>EMERSON</v>
      </c>
      <c r="M7" s="26">
        <f t="shared" si="0"/>
        <v>3</v>
      </c>
      <c r="N7" s="26">
        <f t="shared" si="0"/>
        <v>1</v>
      </c>
      <c r="O7" s="26">
        <f t="shared" si="0"/>
        <v>0</v>
      </c>
      <c r="P7" s="26">
        <f t="shared" si="0"/>
        <v>2</v>
      </c>
      <c r="Q7" s="26">
        <f t="shared" si="0"/>
        <v>4</v>
      </c>
      <c r="R7" s="26">
        <f t="shared" si="0"/>
        <v>1</v>
      </c>
      <c r="S7" s="26">
        <f t="shared" si="0"/>
        <v>3</v>
      </c>
      <c r="T7" s="27">
        <f t="shared" si="0"/>
        <v>5</v>
      </c>
      <c r="W7" s="14" t="s">
        <v>107</v>
      </c>
      <c r="X7" s="14" t="s">
        <v>108</v>
      </c>
      <c r="Y7" s="14" t="s">
        <v>109</v>
      </c>
      <c r="Z7" s="14" t="s">
        <v>85</v>
      </c>
      <c r="AA7" s="14" t="s">
        <v>110</v>
      </c>
      <c r="AB7" s="14" t="s">
        <v>111</v>
      </c>
      <c r="AC7" s="14" t="s">
        <v>112</v>
      </c>
      <c r="AD7" s="14" t="s">
        <v>113</v>
      </c>
      <c r="AE7" s="14" t="s">
        <v>114</v>
      </c>
      <c r="AF7" s="14" t="s">
        <v>113</v>
      </c>
      <c r="AG7" s="14" t="s">
        <v>114</v>
      </c>
      <c r="AH7" s="14" t="s">
        <v>113</v>
      </c>
      <c r="AI7" s="14" t="s">
        <v>114</v>
      </c>
      <c r="AJ7" s="14" t="s">
        <v>113</v>
      </c>
      <c r="AK7" s="14" t="s">
        <v>112</v>
      </c>
      <c r="AL7" s="14" t="s">
        <v>114</v>
      </c>
      <c r="AM7" s="14" t="s">
        <v>113</v>
      </c>
      <c r="AN7" s="14" t="s">
        <v>112</v>
      </c>
      <c r="AO7" s="14" t="s">
        <v>114</v>
      </c>
      <c r="AP7" s="14" t="s">
        <v>113</v>
      </c>
      <c r="AQ7" s="14" t="s">
        <v>112</v>
      </c>
      <c r="AR7" s="14" t="s">
        <v>114</v>
      </c>
      <c r="AS7" s="14" t="s">
        <v>113</v>
      </c>
      <c r="AT7" s="14" t="s">
        <v>112</v>
      </c>
      <c r="AU7" s="14" t="s">
        <v>110</v>
      </c>
      <c r="AV7" s="14" t="s">
        <v>114</v>
      </c>
      <c r="AW7" s="14" t="s">
        <v>113</v>
      </c>
      <c r="AX7" s="14" t="s">
        <v>112</v>
      </c>
      <c r="AY7" s="14" t="s">
        <v>110</v>
      </c>
      <c r="AZ7" s="14" t="s">
        <v>114</v>
      </c>
      <c r="BA7" s="14" t="s">
        <v>113</v>
      </c>
      <c r="BB7" s="14" t="s">
        <v>112</v>
      </c>
      <c r="BC7" s="14" t="s">
        <v>110</v>
      </c>
      <c r="BD7" s="14" t="s">
        <v>114</v>
      </c>
      <c r="BE7" s="14" t="s">
        <v>113</v>
      </c>
      <c r="BF7" s="14" t="s">
        <v>112</v>
      </c>
      <c r="BG7" s="14" t="s">
        <v>110</v>
      </c>
      <c r="BL7" s="14" t="s">
        <v>115</v>
      </c>
      <c r="BM7" s="14" t="s">
        <v>108</v>
      </c>
      <c r="BN7" s="14" t="s">
        <v>109</v>
      </c>
      <c r="BO7" s="14" t="s">
        <v>85</v>
      </c>
      <c r="BP7" s="14" t="s">
        <v>110</v>
      </c>
      <c r="BQ7" s="14" t="s">
        <v>111</v>
      </c>
      <c r="BR7" s="14" t="s">
        <v>112</v>
      </c>
      <c r="BS7" s="14" t="s">
        <v>113</v>
      </c>
    </row>
    <row r="8" spans="1:71" ht="13.5" customHeight="1" thickBot="1">
      <c r="A8" s="26">
        <v>17</v>
      </c>
      <c r="B8" s="33">
        <v>2</v>
      </c>
      <c r="C8" s="34" t="str">
        <f>'Chaves 2a.Fase'!A3</f>
        <v>SINVAL</v>
      </c>
      <c r="D8" s="49">
        <v>0</v>
      </c>
      <c r="E8" s="48">
        <v>0</v>
      </c>
      <c r="F8" s="35" t="str">
        <f>'Chaves 2a.Fase'!A4</f>
        <v>EMERSON</v>
      </c>
      <c r="G8" s="36" t="str">
        <f>'Carnet 1a.Fase'!L7</f>
        <v>PAULO</v>
      </c>
      <c r="H8" s="26"/>
      <c r="I8" s="14" t="str">
        <f t="shared" si="1"/>
        <v>Draw</v>
      </c>
      <c r="J8" s="14" t="str">
        <f t="shared" si="2"/>
        <v>Draw</v>
      </c>
      <c r="L8" s="25" t="str">
        <f>BK10</f>
        <v>RUI</v>
      </c>
      <c r="M8" s="26">
        <f t="shared" si="0"/>
        <v>3</v>
      </c>
      <c r="N8" s="26">
        <f t="shared" si="0"/>
        <v>1</v>
      </c>
      <c r="O8" s="26">
        <f t="shared" si="0"/>
        <v>2</v>
      </c>
      <c r="P8" s="26">
        <f t="shared" si="0"/>
        <v>0</v>
      </c>
      <c r="Q8" s="26">
        <f t="shared" si="0"/>
        <v>2</v>
      </c>
      <c r="R8" s="26">
        <f t="shared" si="0"/>
        <v>5</v>
      </c>
      <c r="S8" s="26">
        <f t="shared" si="0"/>
        <v>-3</v>
      </c>
      <c r="T8" s="27">
        <f t="shared" si="0"/>
        <v>3</v>
      </c>
      <c r="V8" s="14" t="str">
        <f>'Chaves 2a.Fase'!A2</f>
        <v>JOÃO GARIMA</v>
      </c>
      <c r="W8" s="14">
        <f>COUNT(ARGENTINA_JOGOS)</f>
        <v>3</v>
      </c>
      <c r="X8" s="14">
        <f>COUNTIF(Groupstage_Winner,'Chaves 2a.Fase'!A2)</f>
        <v>2</v>
      </c>
      <c r="Y8" s="14">
        <f>COUNTIF(Groupstage_Loser,'Chaves 2a.Fase'!A2)</f>
        <v>0</v>
      </c>
      <c r="Z8" s="14">
        <f>W8-(X8+Y8)</f>
        <v>1</v>
      </c>
      <c r="AA8" s="14">
        <f>SUM(ARGENTINA_JOGOS)</f>
        <v>4</v>
      </c>
      <c r="AB8" s="14">
        <f>SUM(ARGENTINA_ADV)</f>
        <v>1</v>
      </c>
      <c r="AC8" s="14">
        <f>AA8-AB8</f>
        <v>3</v>
      </c>
      <c r="AD8" s="14">
        <f>X8*Winpoints+Z8*Drawpoints</f>
        <v>7</v>
      </c>
      <c r="AE8" s="14" t="str">
        <f>IF($AD8&gt;=$AD9,$V8,$V9)</f>
        <v>JOÃO GARIMA</v>
      </c>
      <c r="AF8" s="14">
        <f>VLOOKUP($AE8,$V8:$AD11,9,FALSE)</f>
        <v>7</v>
      </c>
      <c r="AG8" s="14" t="str">
        <f>IF($AF8&gt;=$AF10,$AE8,$AE10)</f>
        <v>JOÃO GARIMA</v>
      </c>
      <c r="AH8" s="14">
        <f>VLOOKUP($AG8,$V8:$AD11,9,FALSE)</f>
        <v>7</v>
      </c>
      <c r="AI8" s="14" t="str">
        <f>IF($AH8&gt;=$AH11,$AG8,$AG11)</f>
        <v>JOÃO GARIMA</v>
      </c>
      <c r="AJ8" s="14">
        <f>VLOOKUP($AI8,$V8:$AD11,9,FALSE)</f>
        <v>7</v>
      </c>
      <c r="AK8" s="14">
        <f>VLOOKUP($AI8,$V8:$AD11,8,FALSE)</f>
        <v>3</v>
      </c>
      <c r="AL8" s="14" t="str">
        <f>IF(AND($AJ8=$AJ9,$AK9&gt;$AK8),$AI9,$AI8)</f>
        <v>JOÃO GARIMA</v>
      </c>
      <c r="AM8" s="14">
        <f>VLOOKUP($AL8,$V8:$AD11,9,FALSE)</f>
        <v>7</v>
      </c>
      <c r="AN8" s="14">
        <f>VLOOKUP($AL8,$V8:$AD11,8,FALSE)</f>
        <v>3</v>
      </c>
      <c r="AO8" s="14" t="str">
        <f>IF(AND($AM8=$AM10,$AN10&gt;$AN8),$AL10,$AL8)</f>
        <v>JOÃO GARIMA</v>
      </c>
      <c r="AP8" s="14">
        <f>VLOOKUP($AO8,$V8:$AD11,9,FALSE)</f>
        <v>7</v>
      </c>
      <c r="AQ8" s="14">
        <f>VLOOKUP($AO8,$V8:$AD11,8,FALSE)</f>
        <v>3</v>
      </c>
      <c r="AR8" s="14" t="str">
        <f>IF(AND($AP8=$AP11,$AQ11&gt;$AQ8),$AO11,$AO8)</f>
        <v>JOÃO GARIMA</v>
      </c>
      <c r="AS8" s="14">
        <f>VLOOKUP($AR8,$V8:$AD11,9,FALSE)</f>
        <v>7</v>
      </c>
      <c r="AT8" s="14">
        <f>VLOOKUP($AR8,$V8:$AD11,8,FALSE)</f>
        <v>3</v>
      </c>
      <c r="AU8" s="14">
        <f>VLOOKUP($AR8,$V8:$AD11,6,FALSE)</f>
        <v>4</v>
      </c>
      <c r="AV8" s="14" t="str">
        <f>IF(AND($AS8=$AS9,$AT8=$AT9,$AU9&gt;$AU8),$AR9,$AR8)</f>
        <v>JOÃO GARIMA</v>
      </c>
      <c r="AW8" s="14">
        <f>VLOOKUP($AV8,$V8:$AD11,9,FALSE)</f>
        <v>7</v>
      </c>
      <c r="AX8" s="14">
        <f>VLOOKUP($AV8,$V8:$AD11,8,FALSE)</f>
        <v>3</v>
      </c>
      <c r="AY8" s="14">
        <f>VLOOKUP($AV8,$V8:$AD11,6,FALSE)</f>
        <v>4</v>
      </c>
      <c r="AZ8" s="14" t="str">
        <f>IF(AND($AW8=$AW10,$AX8=$AX10,$AY10&gt;$AY8),$AV10,$AV8)</f>
        <v>JOÃO GARIMA</v>
      </c>
      <c r="BA8" s="14">
        <f>VLOOKUP($AZ8,$V8:$AD11,9,FALSE)</f>
        <v>7</v>
      </c>
      <c r="BB8" s="14">
        <f>VLOOKUP($AZ8,$V8:$AD11,8,FALSE)</f>
        <v>3</v>
      </c>
      <c r="BC8" s="14">
        <f>VLOOKUP($AZ8,$V8:$AD11,6,FALSE)</f>
        <v>4</v>
      </c>
      <c r="BD8" s="14" t="str">
        <f>IF(AND($BA8=$BA11,$BB8=$BB11,$BC11&gt;$BC8),$AZ11,$AZ8)</f>
        <v>JOÃO GARIMA</v>
      </c>
      <c r="BE8" s="14">
        <f>VLOOKUP($BD8,$V8:$AD11,9,FALSE)</f>
        <v>7</v>
      </c>
      <c r="BF8" s="14">
        <f>VLOOKUP($BD8,$V8:$AD11,8,FALSE)</f>
        <v>3</v>
      </c>
      <c r="BG8" s="14">
        <f>VLOOKUP($BD8,$V8:$AD11,6,FALSE)</f>
        <v>4</v>
      </c>
      <c r="BK8" s="14" t="str">
        <f>BD8</f>
        <v>JOÃO GARIMA</v>
      </c>
      <c r="BL8" s="14">
        <f>VLOOKUP($BK8,$V8:$AD11,2,FALSE)</f>
        <v>3</v>
      </c>
      <c r="BM8" s="14">
        <f>VLOOKUP($BK8,$V8:$AD11,3,FALSE)</f>
        <v>2</v>
      </c>
      <c r="BN8" s="14">
        <f>VLOOKUP($BK8,$V8:$AD11,4,FALSE)</f>
        <v>0</v>
      </c>
      <c r="BO8" s="14">
        <f>VLOOKUP($BK8,$V8:$AD11,5,FALSE)</f>
        <v>1</v>
      </c>
      <c r="BP8" s="14">
        <f>VLOOKUP($BK8,$V8:$AD11,6,FALSE)</f>
        <v>4</v>
      </c>
      <c r="BQ8" s="14">
        <f>VLOOKUP($BK8,$V8:$AD11,7,FALSE)</f>
        <v>1</v>
      </c>
      <c r="BR8" s="14">
        <f>VLOOKUP($BK8,$V8:$AD11,8,FALSE)</f>
        <v>3</v>
      </c>
      <c r="BS8" s="14">
        <f>VLOOKUP($BK8,$V8:$AD11,9,FALSE)</f>
        <v>7</v>
      </c>
    </row>
    <row r="9" spans="1:71" ht="13.5" customHeight="1" thickBot="1">
      <c r="A9" s="26">
        <v>18</v>
      </c>
      <c r="B9" s="33">
        <v>3</v>
      </c>
      <c r="C9" s="34" t="str">
        <f>'Chaves 2a.Fase'!B2</f>
        <v>PUFAL</v>
      </c>
      <c r="D9" s="49">
        <v>0</v>
      </c>
      <c r="E9" s="48">
        <v>0</v>
      </c>
      <c r="F9" s="35" t="str">
        <f>'Chaves 2a.Fase'!B5</f>
        <v>JULINHO</v>
      </c>
      <c r="G9" s="36" t="str">
        <f>'Carnet 1a.Fase'!L70</f>
        <v>KEVIN</v>
      </c>
      <c r="H9" s="26"/>
      <c r="I9" s="14" t="str">
        <f t="shared" si="1"/>
        <v>Draw</v>
      </c>
      <c r="J9" s="14" t="str">
        <f t="shared" si="2"/>
        <v>Draw</v>
      </c>
      <c r="L9" s="37" t="str">
        <f>BK11</f>
        <v>SINVAL</v>
      </c>
      <c r="M9" s="38">
        <f t="shared" si="0"/>
        <v>3</v>
      </c>
      <c r="N9" s="38">
        <f t="shared" si="0"/>
        <v>0</v>
      </c>
      <c r="O9" s="38">
        <f t="shared" si="0"/>
        <v>2</v>
      </c>
      <c r="P9" s="38">
        <f t="shared" si="0"/>
        <v>1</v>
      </c>
      <c r="Q9" s="38">
        <f t="shared" si="0"/>
        <v>1</v>
      </c>
      <c r="R9" s="38">
        <f t="shared" si="0"/>
        <v>4</v>
      </c>
      <c r="S9" s="38">
        <f t="shared" si="0"/>
        <v>-3</v>
      </c>
      <c r="T9" s="39">
        <f t="shared" si="0"/>
        <v>1</v>
      </c>
      <c r="V9" s="14" t="str">
        <f>'Chaves 2a.Fase'!A3</f>
        <v>SINVAL</v>
      </c>
      <c r="W9" s="14">
        <f>COUNT(BRASIL_JOGOS)</f>
        <v>3</v>
      </c>
      <c r="X9" s="14">
        <f>COUNTIF(Groupstage_Winner,'Chaves 2a.Fase'!A3)</f>
        <v>0</v>
      </c>
      <c r="Y9" s="14">
        <f>COUNTIF(Groupstage_Loser,'Chaves 2a.Fase'!A3)</f>
        <v>2</v>
      </c>
      <c r="Z9" s="14">
        <f>W9-(X9+Y9)</f>
        <v>1</v>
      </c>
      <c r="AA9" s="14">
        <f>SUM(BRASIL_JOGOS)</f>
        <v>1</v>
      </c>
      <c r="AB9" s="14">
        <f>SUM(BRASIL_ADV)</f>
        <v>4</v>
      </c>
      <c r="AC9" s="14">
        <f>AA9-AB9</f>
        <v>-3</v>
      </c>
      <c r="AD9" s="14">
        <f>X9*Winpoints+Z9*Drawpoints</f>
        <v>1</v>
      </c>
      <c r="AE9" s="14" t="str">
        <f>IF($AD9&lt;=$AD8,$V9,$V8)</f>
        <v>SINVAL</v>
      </c>
      <c r="AF9" s="14">
        <f>VLOOKUP($AE9,$V8:$AD11,9,FALSE)</f>
        <v>1</v>
      </c>
      <c r="AG9" s="14" t="str">
        <f>IF(AF9&gt;=AF11,AE9,AE11)</f>
        <v>RUI</v>
      </c>
      <c r="AH9" s="14">
        <f>VLOOKUP($AG9,$V8:$AD11,9,FALSE)</f>
        <v>3</v>
      </c>
      <c r="AI9" s="14" t="str">
        <f>IF($AH9&gt;=$AH10,$AG9,$AG10)</f>
        <v>EMERSON</v>
      </c>
      <c r="AJ9" s="14">
        <f>VLOOKUP($AI9,$V8:$AD11,9,FALSE)</f>
        <v>5</v>
      </c>
      <c r="AK9" s="14">
        <f>VLOOKUP($AI9,$V8:$AD11,8,FALSE)</f>
        <v>3</v>
      </c>
      <c r="AL9" s="14" t="str">
        <f>IF(AND($AJ8=$AJ9,$AK9&gt;$AK8),$AI8,$AI9)</f>
        <v>EMERSON</v>
      </c>
      <c r="AM9" s="14">
        <f>VLOOKUP($AL9,$V8:$AD11,9,FALSE)</f>
        <v>5</v>
      </c>
      <c r="AN9" s="14">
        <f>VLOOKUP($AL9,$V8:$AD11,8,FALSE)</f>
        <v>3</v>
      </c>
      <c r="AO9" s="14" t="str">
        <f>IF(AND($AM9=$AM11,$AN11&gt;$AN9),$AL11,$AL9)</f>
        <v>EMERSON</v>
      </c>
      <c r="AP9" s="14">
        <f>VLOOKUP($AO9,$V8:$AD11,9,FALSE)</f>
        <v>5</v>
      </c>
      <c r="AQ9" s="14">
        <f>VLOOKUP($AO9,$V8:$AD11,8,FALSE)</f>
        <v>3</v>
      </c>
      <c r="AR9" s="14" t="str">
        <f>IF(AND($AP9=$AP10,$AQ10&gt;$AQ9),$AO10,$AO9)</f>
        <v>EMERSON</v>
      </c>
      <c r="AS9" s="14">
        <f>VLOOKUP($AR9,$V8:$AD11,9,FALSE)</f>
        <v>5</v>
      </c>
      <c r="AT9" s="14">
        <f>VLOOKUP($AR9,$V8:$AD11,8,FALSE)</f>
        <v>3</v>
      </c>
      <c r="AU9" s="14">
        <f>VLOOKUP($AR9,$V8:$AD11,6,FALSE)</f>
        <v>4</v>
      </c>
      <c r="AV9" s="14" t="str">
        <f>IF(AND($AS8=$AS9,$AT8=$AT9,$AU9&gt;$AU8),$AR8,$AR9)</f>
        <v>EMERSON</v>
      </c>
      <c r="AW9" s="14">
        <f>VLOOKUP($AV9,$V8:$AD11,9,FALSE)</f>
        <v>5</v>
      </c>
      <c r="AX9" s="14">
        <f>VLOOKUP($AV9,$V8:$AD11,8,FALSE)</f>
        <v>3</v>
      </c>
      <c r="AY9" s="14">
        <f>VLOOKUP($AV9,$V8:$AD11,6,FALSE)</f>
        <v>4</v>
      </c>
      <c r="AZ9" s="14" t="str">
        <f>IF(AND($AW9=$AW11,$AX9=$AX11,$AY11&gt;$AY9),$AV11,$AV9)</f>
        <v>EMERSON</v>
      </c>
      <c r="BA9" s="14">
        <f>VLOOKUP($AZ9,$V8:$AD11,9,FALSE)</f>
        <v>5</v>
      </c>
      <c r="BB9" s="14">
        <f>VLOOKUP($AZ9,$V8:$AD11,8,FALSE)</f>
        <v>3</v>
      </c>
      <c r="BC9" s="14">
        <f>VLOOKUP($AZ9,$V8:$AD11,6,FALSE)</f>
        <v>4</v>
      </c>
      <c r="BD9" s="14" t="str">
        <f>IF(AND($BA9=$BA10,$BB9=$BB10,$BC10&gt;$BC9),$AZ10,$AZ9)</f>
        <v>EMERSON</v>
      </c>
      <c r="BE9" s="14">
        <f>VLOOKUP($BD9,$V8:$AD11,9,FALSE)</f>
        <v>5</v>
      </c>
      <c r="BF9" s="14">
        <f>VLOOKUP($BD9,$V8:$AD11,8,FALSE)</f>
        <v>3</v>
      </c>
      <c r="BG9" s="14">
        <f>VLOOKUP($BD9,$V8:$AD11,6,FALSE)</f>
        <v>4</v>
      </c>
      <c r="BK9" s="14" t="str">
        <f>BD9</f>
        <v>EMERSON</v>
      </c>
      <c r="BL9" s="14">
        <f>VLOOKUP($BK9,$V8:$AD11,2,FALSE)</f>
        <v>3</v>
      </c>
      <c r="BM9" s="14">
        <f>VLOOKUP($BK9,$V8:$AD11,3,FALSE)</f>
        <v>1</v>
      </c>
      <c r="BN9" s="14">
        <f>VLOOKUP($BK9,$V8:$AD11,4,FALSE)</f>
        <v>0</v>
      </c>
      <c r="BO9" s="14">
        <f>VLOOKUP($BK9,$V8:$AD11,5,FALSE)</f>
        <v>2</v>
      </c>
      <c r="BP9" s="14">
        <f>VLOOKUP($BK9,$V8:$AD11,6,FALSE)</f>
        <v>4</v>
      </c>
      <c r="BQ9" s="14">
        <f>VLOOKUP($BK9,$V8:$AD11,7,FALSE)</f>
        <v>1</v>
      </c>
      <c r="BR9" s="14">
        <f>VLOOKUP($BK9,$V8:$AD11,8,FALSE)</f>
        <v>3</v>
      </c>
      <c r="BS9" s="14">
        <f>VLOOKUP($BK9,$V8:$AD11,9,FALSE)</f>
        <v>5</v>
      </c>
    </row>
    <row r="10" spans="1:71" ht="13.5" customHeight="1" thickBot="1">
      <c r="A10" s="26">
        <v>18</v>
      </c>
      <c r="B10" s="33">
        <v>4</v>
      </c>
      <c r="C10" s="34" t="str">
        <f>'Chaves 2a.Fase'!B3</f>
        <v>ZILBER</v>
      </c>
      <c r="D10" s="49">
        <v>0</v>
      </c>
      <c r="E10" s="48">
        <v>1</v>
      </c>
      <c r="F10" s="35" t="str">
        <f>'Chaves 2a.Fase'!B4</f>
        <v>ALEX</v>
      </c>
      <c r="G10" s="36" t="str">
        <f>'Carnet 1a.Fase'!L14</f>
        <v>BETÃO</v>
      </c>
      <c r="H10" s="26"/>
      <c r="I10" s="14" t="str">
        <f t="shared" si="1"/>
        <v>ALEX</v>
      </c>
      <c r="J10" s="14" t="str">
        <f t="shared" si="2"/>
        <v>ZILBER</v>
      </c>
      <c r="V10" s="14" t="str">
        <f>'Chaves 2a.Fase'!A4</f>
        <v>EMERSON</v>
      </c>
      <c r="W10" s="14">
        <f>COUNT(URUGUAI_JOGOS)</f>
        <v>3</v>
      </c>
      <c r="X10" s="14">
        <f>COUNTIF(Groupstage_Winner,'Chaves 2a.Fase'!A4)</f>
        <v>1</v>
      </c>
      <c r="Y10" s="14">
        <f>COUNTIF(Groupstage_Loser,'Chaves 2a.Fase'!A4)</f>
        <v>0</v>
      </c>
      <c r="Z10" s="14">
        <f>W10-(X10+Y10)</f>
        <v>2</v>
      </c>
      <c r="AA10" s="14">
        <f>SUM(URUGUAI_JOGOS)</f>
        <v>4</v>
      </c>
      <c r="AB10" s="14">
        <f>SUM(URUGUAI_ADV)</f>
        <v>1</v>
      </c>
      <c r="AC10" s="14">
        <f>AA10-AB10</f>
        <v>3</v>
      </c>
      <c r="AD10" s="14">
        <f>X10*Winpoints+Z10*Drawpoints</f>
        <v>5</v>
      </c>
      <c r="AE10" s="14" t="str">
        <f>IF($AD10&gt;=$AD11,$V10,$V11)</f>
        <v>EMERSON</v>
      </c>
      <c r="AF10" s="14">
        <f>VLOOKUP($AE10,$V8:$AD11,9,FALSE)</f>
        <v>5</v>
      </c>
      <c r="AG10" s="14" t="str">
        <f>IF($AF10&lt;=$AF8,$AE10,$AE8)</f>
        <v>EMERSON</v>
      </c>
      <c r="AH10" s="14">
        <f>VLOOKUP($AG10,$V8:$AD11,9,FALSE)</f>
        <v>5</v>
      </c>
      <c r="AI10" s="14" t="str">
        <f>IF($AH10&lt;=$AH9,$AG10,$AG9)</f>
        <v>RUI</v>
      </c>
      <c r="AJ10" s="14">
        <f>VLOOKUP($AI10,$V8:$AD11,9,FALSE)</f>
        <v>3</v>
      </c>
      <c r="AK10" s="14">
        <f>VLOOKUP($AI10,$V8:$AD11,8,FALSE)</f>
        <v>-3</v>
      </c>
      <c r="AL10" s="14" t="str">
        <f>IF(AND($AJ10=$AJ11,$AK11&gt;$AK10),$AI11,$AI10)</f>
        <v>RUI</v>
      </c>
      <c r="AM10" s="14">
        <f>VLOOKUP($AL10,$V8:$AD11,9,FALSE)</f>
        <v>3</v>
      </c>
      <c r="AN10" s="14">
        <f>VLOOKUP($AL10,$V8:$AD11,8,FALSE)</f>
        <v>-3</v>
      </c>
      <c r="AO10" s="14" t="str">
        <f>IF(AND($AM8=$AM10,$AN10&gt;$AN8),$AL8,$AL10)</f>
        <v>RUI</v>
      </c>
      <c r="AP10" s="14">
        <f>VLOOKUP($AO10,$V8:$AD11,9,FALSE)</f>
        <v>3</v>
      </c>
      <c r="AQ10" s="14">
        <f>VLOOKUP($AO10,$V8:$AD11,8,FALSE)</f>
        <v>-3</v>
      </c>
      <c r="AR10" s="14" t="str">
        <f>IF(AND($AP9=$AP10,$AQ10&gt;$AQ9),$AO9,$AO10)</f>
        <v>RUI</v>
      </c>
      <c r="AS10" s="14">
        <f>VLOOKUP($AR10,$V8:$AD11,9,FALSE)</f>
        <v>3</v>
      </c>
      <c r="AT10" s="14">
        <f>VLOOKUP($AR10,$V8:$AD11,8,FALSE)</f>
        <v>-3</v>
      </c>
      <c r="AU10" s="14">
        <f>VLOOKUP($AR10,$V8:$AD11,6,FALSE)</f>
        <v>2</v>
      </c>
      <c r="AV10" s="14" t="str">
        <f>IF(AND($AS10=$AS11,$AT10=$AT11,$AU11&gt;$AU10),$AR11,$AR10)</f>
        <v>RUI</v>
      </c>
      <c r="AW10" s="14">
        <f>VLOOKUP($AV10,$V8:$AD11,9,FALSE)</f>
        <v>3</v>
      </c>
      <c r="AX10" s="14">
        <f>VLOOKUP($AV10,$V8:$AD11,8,FALSE)</f>
        <v>-3</v>
      </c>
      <c r="AY10" s="14">
        <f>VLOOKUP($AV10,$V8:$AD11,6,FALSE)</f>
        <v>2</v>
      </c>
      <c r="AZ10" s="14" t="str">
        <f>IF(AND($AW8=$AW10,$AX8=$AX10,$AY10&gt;$AY8),$AV8,$AV10)</f>
        <v>RUI</v>
      </c>
      <c r="BA10" s="14">
        <f>VLOOKUP($AZ10,$V8:$AD11,9,FALSE)</f>
        <v>3</v>
      </c>
      <c r="BB10" s="14">
        <f>VLOOKUP($AZ10,$V8:$AD11,8,FALSE)</f>
        <v>-3</v>
      </c>
      <c r="BC10" s="14">
        <f>VLOOKUP($AZ10,$V8:$AD11,6,FALSE)</f>
        <v>2</v>
      </c>
      <c r="BD10" s="14" t="str">
        <f>IF(AND($BA9=$BA10,$BB9=$BB10,$BC10&gt;$BC9),$AZ9,$AZ10)</f>
        <v>RUI</v>
      </c>
      <c r="BE10" s="14">
        <f>VLOOKUP($BD10,$V8:$AD11,9,FALSE)</f>
        <v>3</v>
      </c>
      <c r="BF10" s="14">
        <f>VLOOKUP($BD10,$V8:$AD11,8,FALSE)</f>
        <v>-3</v>
      </c>
      <c r="BG10" s="14">
        <f>VLOOKUP($BD10,$V8:$AD11,6,FALSE)</f>
        <v>2</v>
      </c>
      <c r="BK10" s="14" t="str">
        <f>BD10</f>
        <v>RUI</v>
      </c>
      <c r="BL10" s="14">
        <f>VLOOKUP($BK10,$V8:$AD11,2,FALSE)</f>
        <v>3</v>
      </c>
      <c r="BM10" s="14">
        <f>VLOOKUP($BK10,$V8:$AD11,3,FALSE)</f>
        <v>1</v>
      </c>
      <c r="BN10" s="14">
        <f>VLOOKUP($BK10,$V8:$AD11,4,FALSE)</f>
        <v>2</v>
      </c>
      <c r="BO10" s="14">
        <f>VLOOKUP($BK10,$V8:$AD11,5,FALSE)</f>
        <v>0</v>
      </c>
      <c r="BP10" s="14">
        <f>VLOOKUP($BK10,$V8:$AD11,6,FALSE)</f>
        <v>2</v>
      </c>
      <c r="BQ10" s="14">
        <f>VLOOKUP($BK10,$V8:$AD11,7,FALSE)</f>
        <v>5</v>
      </c>
      <c r="BR10" s="14">
        <f>VLOOKUP($BK10,$V8:$AD11,8,FALSE)</f>
        <v>-3</v>
      </c>
      <c r="BS10" s="14">
        <f>VLOOKUP($BK10,$V8:$AD11,9,FALSE)</f>
        <v>3</v>
      </c>
    </row>
    <row r="11" spans="1:71" ht="13.5" customHeight="1" thickBot="1">
      <c r="A11" s="26">
        <v>19</v>
      </c>
      <c r="B11" s="33">
        <v>5</v>
      </c>
      <c r="C11" s="34" t="str">
        <f>'Chaves 2a.Fase'!C2</f>
        <v>BRANDÃO</v>
      </c>
      <c r="D11" s="49">
        <v>2</v>
      </c>
      <c r="E11" s="48">
        <v>2</v>
      </c>
      <c r="F11" s="35" t="str">
        <f>'Chaves 2a.Fase'!C5</f>
        <v>JONI</v>
      </c>
      <c r="G11" s="36" t="str">
        <f>'Carnet 1a.Fase'!L77</f>
        <v>ROGÉRIO FEIJÓ</v>
      </c>
      <c r="H11" s="26"/>
      <c r="I11" s="14" t="str">
        <f t="shared" si="1"/>
        <v>Draw</v>
      </c>
      <c r="J11" s="14" t="str">
        <f t="shared" si="2"/>
        <v>Draw</v>
      </c>
      <c r="L11" s="19" t="s">
        <v>148</v>
      </c>
      <c r="M11" s="20"/>
      <c r="N11" s="20"/>
      <c r="O11" s="20"/>
      <c r="P11" s="20"/>
      <c r="Q11" s="20"/>
      <c r="R11" s="20"/>
      <c r="S11" s="20"/>
      <c r="T11" s="21"/>
      <c r="V11" s="14" t="str">
        <f>'Chaves 2a.Fase'!A5</f>
        <v>RUI</v>
      </c>
      <c r="W11" s="14">
        <f>COUNT(PARAGUAI_JOGOS)</f>
        <v>3</v>
      </c>
      <c r="X11" s="14">
        <f>COUNTIF(Groupstage_Winner,'Chaves 2a.Fase'!A5)</f>
        <v>1</v>
      </c>
      <c r="Y11" s="14">
        <f>COUNTIF(Groupstage_Loser,'Chaves 2a.Fase'!A5)</f>
        <v>2</v>
      </c>
      <c r="Z11" s="14">
        <f>W11-(X11+Y11)</f>
        <v>0</v>
      </c>
      <c r="AA11" s="14">
        <f>SUM(PARAGUAI_JOGOS)</f>
        <v>2</v>
      </c>
      <c r="AB11" s="14">
        <f>SUM(PARAGUAI_ADV)</f>
        <v>5</v>
      </c>
      <c r="AC11" s="14">
        <f>AA11-AB11</f>
        <v>-3</v>
      </c>
      <c r="AD11" s="14">
        <f>X11*Winpoints+Z11*Drawpoints</f>
        <v>3</v>
      </c>
      <c r="AE11" s="14" t="str">
        <f>IF($AD11&lt;=$AD10,$V11,$V10)</f>
        <v>RUI</v>
      </c>
      <c r="AF11" s="14">
        <f>VLOOKUP($AE11,$V8:$AD11,9,FALSE)</f>
        <v>3</v>
      </c>
      <c r="AG11" s="14" t="str">
        <f>IF(AF11&lt;=AF9,AE11,AE9)</f>
        <v>SINVAL</v>
      </c>
      <c r="AH11" s="14">
        <f>VLOOKUP($AG11,$V8:$AD11,9,FALSE)</f>
        <v>1</v>
      </c>
      <c r="AI11" s="14" t="str">
        <f>IF($AH11&lt;=$AH8,$AG11,$AG8)</f>
        <v>SINVAL</v>
      </c>
      <c r="AJ11" s="14">
        <f>VLOOKUP($AI11,$V8:$AD11,9,FALSE)</f>
        <v>1</v>
      </c>
      <c r="AK11" s="14">
        <f>VLOOKUP($AI11,$V8:$AD11,8,FALSE)</f>
        <v>-3</v>
      </c>
      <c r="AL11" s="14" t="str">
        <f>IF(AND($AJ10=$AJ11,$AK11&gt;$AK10),$AI10,$AI11)</f>
        <v>SINVAL</v>
      </c>
      <c r="AM11" s="14">
        <f>VLOOKUP($AL11,$V8:$AD11,9,FALSE)</f>
        <v>1</v>
      </c>
      <c r="AN11" s="14">
        <f>VLOOKUP($AL11,$V8:$AD11,8,FALSE)</f>
        <v>-3</v>
      </c>
      <c r="AO11" s="14" t="str">
        <f>IF(AND($AM9=$AM11,$AN11&gt;$AN9),$AL9,$AL11)</f>
        <v>SINVAL</v>
      </c>
      <c r="AP11" s="14">
        <f>VLOOKUP($AO11,$V8:$AD11,9,FALSE)</f>
        <v>1</v>
      </c>
      <c r="AQ11" s="14">
        <f>VLOOKUP($AO11,$V8:$AD11,8,FALSE)</f>
        <v>-3</v>
      </c>
      <c r="AR11" s="14" t="str">
        <f>IF(AND($AP8=$AP11,$AQ11&gt;$AQ8),$AO8,$AO11)</f>
        <v>SINVAL</v>
      </c>
      <c r="AS11" s="14">
        <f>VLOOKUP($AR11,$V8:$AD11,9,FALSE)</f>
        <v>1</v>
      </c>
      <c r="AT11" s="14">
        <f>VLOOKUP($AR11,$V8:$AD11,8,FALSE)</f>
        <v>-3</v>
      </c>
      <c r="AU11" s="14">
        <f>VLOOKUP($AR11,$V8:$AD11,6,FALSE)</f>
        <v>1</v>
      </c>
      <c r="AV11" s="14" t="str">
        <f>IF(AND($AS10=$AS11,$AT10=$AT11,$AU11&gt;$AU10),$AR10,$AR11)</f>
        <v>SINVAL</v>
      </c>
      <c r="AW11" s="14">
        <f>VLOOKUP($AV11,$V8:$AD11,9,FALSE)</f>
        <v>1</v>
      </c>
      <c r="AX11" s="14">
        <f>VLOOKUP($AV11,$V8:$AD11,8,FALSE)</f>
        <v>-3</v>
      </c>
      <c r="AY11" s="14">
        <f>VLOOKUP($AV11,$V8:$AD11,6,FALSE)</f>
        <v>1</v>
      </c>
      <c r="AZ11" s="14" t="str">
        <f>IF(AND($AW9=$AW11,$AX9=$AX11,$AY11&gt;$AY9),$AV9,$AV11)</f>
        <v>SINVAL</v>
      </c>
      <c r="BA11" s="14">
        <f>VLOOKUP($AZ11,$V8:$AD11,9,FALSE)</f>
        <v>1</v>
      </c>
      <c r="BB11" s="14">
        <f>VLOOKUP($AZ11,$V8:$AD11,8,FALSE)</f>
        <v>-3</v>
      </c>
      <c r="BC11" s="14">
        <f>VLOOKUP($AZ11,$V8:$AD11,6,FALSE)</f>
        <v>1</v>
      </c>
      <c r="BD11" s="14" t="str">
        <f>IF(AND($BA8=$BA11,$BB8=$BB11,$BC11&gt;$BC8),$AZ8,$AZ11)</f>
        <v>SINVAL</v>
      </c>
      <c r="BE11" s="14">
        <f>VLOOKUP($BD11,$V8:$AD11,9,FALSE)</f>
        <v>1</v>
      </c>
      <c r="BF11" s="14">
        <f>VLOOKUP($BD11,$V8:$AD11,8,FALSE)</f>
        <v>-3</v>
      </c>
      <c r="BG11" s="14">
        <f>VLOOKUP($BD11,$V8:$AD11,6,FALSE)</f>
        <v>1</v>
      </c>
      <c r="BK11" s="14" t="str">
        <f>BD11</f>
        <v>SINVAL</v>
      </c>
      <c r="BL11" s="14">
        <f>VLOOKUP($BK11,$V8:$AD11,2,FALSE)</f>
        <v>3</v>
      </c>
      <c r="BM11" s="14">
        <f>VLOOKUP($BK11,$V8:$AD11,3,FALSE)</f>
        <v>0</v>
      </c>
      <c r="BN11" s="14">
        <f>VLOOKUP($BK11,$V8:$AD11,4,FALSE)</f>
        <v>2</v>
      </c>
      <c r="BO11" s="14">
        <f>VLOOKUP($BK11,$V8:$AD11,5,FALSE)</f>
        <v>1</v>
      </c>
      <c r="BP11" s="14">
        <f>VLOOKUP($BK11,$V8:$AD11,6,FALSE)</f>
        <v>1</v>
      </c>
      <c r="BQ11" s="14">
        <f>VLOOKUP($BK11,$V8:$AD11,7,FALSE)</f>
        <v>4</v>
      </c>
      <c r="BR11" s="14">
        <f>VLOOKUP($BK11,$V8:$AD11,8,FALSE)</f>
        <v>-3</v>
      </c>
      <c r="BS11" s="14">
        <f>VLOOKUP($BK11,$V8:$AD11,9,FALSE)</f>
        <v>1</v>
      </c>
    </row>
    <row r="12" spans="1:20" ht="13.5" customHeight="1" thickBot="1">
      <c r="A12" s="40">
        <v>19</v>
      </c>
      <c r="B12" s="41">
        <v>6</v>
      </c>
      <c r="C12" s="42" t="str">
        <f>'Chaves 2a.Fase'!C3</f>
        <v>DUDA</v>
      </c>
      <c r="D12" s="49">
        <v>0</v>
      </c>
      <c r="E12" s="48">
        <v>0</v>
      </c>
      <c r="F12" s="43" t="str">
        <f>'Chaves 2a.Fase'!C4</f>
        <v>MALLET</v>
      </c>
      <c r="G12" s="43" t="str">
        <f>'Carnet 1a.Fase'!L21</f>
        <v>CAJU</v>
      </c>
      <c r="H12" s="40"/>
      <c r="I12" s="14" t="str">
        <f t="shared" si="1"/>
        <v>Draw</v>
      </c>
      <c r="J12" s="14" t="str">
        <f t="shared" si="2"/>
        <v>Draw</v>
      </c>
      <c r="L12" s="22"/>
      <c r="M12" s="23" t="s">
        <v>83</v>
      </c>
      <c r="N12" s="23" t="s">
        <v>84</v>
      </c>
      <c r="O12" s="23" t="s">
        <v>85</v>
      </c>
      <c r="P12" s="23" t="s">
        <v>86</v>
      </c>
      <c r="Q12" s="23" t="s">
        <v>87</v>
      </c>
      <c r="R12" s="23" t="s">
        <v>88</v>
      </c>
      <c r="S12" s="23" t="s">
        <v>89</v>
      </c>
      <c r="T12" s="24" t="s">
        <v>90</v>
      </c>
    </row>
    <row r="13" spans="1:22" ht="13.5" customHeight="1" thickBot="1">
      <c r="A13" s="26">
        <v>20</v>
      </c>
      <c r="B13" s="33">
        <v>7</v>
      </c>
      <c r="C13" s="34" t="str">
        <f>'Chaves 2a.Fase'!D2</f>
        <v>BRENO</v>
      </c>
      <c r="D13" s="49">
        <v>0</v>
      </c>
      <c r="E13" s="48">
        <v>3</v>
      </c>
      <c r="F13" s="35" t="str">
        <f>'Chaves 2a.Fase'!D5</f>
        <v>ELISANDRO</v>
      </c>
      <c r="G13" s="36" t="str">
        <f>'Carnet 1a.Fase'!L84</f>
        <v>LEANDRO</v>
      </c>
      <c r="H13" s="26"/>
      <c r="I13" s="14" t="str">
        <f t="shared" si="1"/>
        <v>ELISANDRO</v>
      </c>
      <c r="J13" s="14" t="str">
        <f t="shared" si="2"/>
        <v>BRENO</v>
      </c>
      <c r="L13" s="25" t="str">
        <f aca="true" t="shared" si="3" ref="L13:T16">BK15</f>
        <v>ALEX</v>
      </c>
      <c r="M13" s="26">
        <f t="shared" si="3"/>
        <v>3</v>
      </c>
      <c r="N13" s="26">
        <f t="shared" si="3"/>
        <v>2</v>
      </c>
      <c r="O13" s="26">
        <f t="shared" si="3"/>
        <v>0</v>
      </c>
      <c r="P13" s="26">
        <f t="shared" si="3"/>
        <v>1</v>
      </c>
      <c r="Q13" s="26">
        <f t="shared" si="3"/>
        <v>3</v>
      </c>
      <c r="R13" s="26">
        <f t="shared" si="3"/>
        <v>0</v>
      </c>
      <c r="S13" s="26">
        <f t="shared" si="3"/>
        <v>3</v>
      </c>
      <c r="T13" s="27">
        <f t="shared" si="3"/>
        <v>7</v>
      </c>
      <c r="V13" s="14" t="s">
        <v>149</v>
      </c>
    </row>
    <row r="14" spans="1:30" ht="13.5" customHeight="1" thickBot="1">
      <c r="A14" s="26">
        <v>20</v>
      </c>
      <c r="B14" s="33">
        <v>8</v>
      </c>
      <c r="C14" s="34" t="str">
        <f>'Chaves 2a.Fase'!D3</f>
        <v>VINICIUS</v>
      </c>
      <c r="D14" s="49">
        <v>1</v>
      </c>
      <c r="E14" s="48">
        <v>0</v>
      </c>
      <c r="F14" s="35" t="str">
        <f>'Chaves 2a.Fase'!D4</f>
        <v>VINHAS</v>
      </c>
      <c r="G14" s="36" t="str">
        <f>'Carnet 1a.Fase'!L28</f>
        <v>LUCIANO</v>
      </c>
      <c r="H14" s="26"/>
      <c r="I14" s="14" t="str">
        <f t="shared" si="1"/>
        <v>VINICIUS</v>
      </c>
      <c r="J14" s="14" t="str">
        <f t="shared" si="2"/>
        <v>VINHAS</v>
      </c>
      <c r="L14" s="25" t="str">
        <f t="shared" si="3"/>
        <v>ZILBER</v>
      </c>
      <c r="M14" s="26">
        <f t="shared" si="3"/>
        <v>3</v>
      </c>
      <c r="N14" s="26">
        <f t="shared" si="3"/>
        <v>2</v>
      </c>
      <c r="O14" s="26">
        <f t="shared" si="3"/>
        <v>1</v>
      </c>
      <c r="P14" s="26">
        <f t="shared" si="3"/>
        <v>0</v>
      </c>
      <c r="Q14" s="26">
        <f t="shared" si="3"/>
        <v>2</v>
      </c>
      <c r="R14" s="26">
        <f t="shared" si="3"/>
        <v>1</v>
      </c>
      <c r="S14" s="26">
        <f t="shared" si="3"/>
        <v>1</v>
      </c>
      <c r="T14" s="27">
        <f t="shared" si="3"/>
        <v>6</v>
      </c>
      <c r="W14" s="14" t="s">
        <v>107</v>
      </c>
      <c r="X14" s="14" t="s">
        <v>108</v>
      </c>
      <c r="Y14" s="14" t="s">
        <v>109</v>
      </c>
      <c r="Z14" s="14" t="s">
        <v>85</v>
      </c>
      <c r="AA14" s="14" t="s">
        <v>110</v>
      </c>
      <c r="AB14" s="14" t="s">
        <v>111</v>
      </c>
      <c r="AC14" s="14" t="s">
        <v>112</v>
      </c>
      <c r="AD14" s="14" t="s">
        <v>113</v>
      </c>
    </row>
    <row r="15" spans="1:71" ht="13.5" customHeight="1" thickBot="1">
      <c r="A15" s="26">
        <v>21</v>
      </c>
      <c r="B15" s="33">
        <v>9</v>
      </c>
      <c r="C15" s="34" t="str">
        <f>'Chaves 2a.Fase'!A8</f>
        <v>RODRIGO B.</v>
      </c>
      <c r="D15" s="49">
        <v>0</v>
      </c>
      <c r="E15" s="48">
        <v>1</v>
      </c>
      <c r="F15" s="35" t="str">
        <f>'Chaves 2a.Fase'!A11</f>
        <v>PAIM</v>
      </c>
      <c r="G15" s="36" t="str">
        <f>'Carnet 1a.Fase'!L91</f>
        <v>EDISON</v>
      </c>
      <c r="H15" s="26"/>
      <c r="I15" s="14" t="str">
        <f t="shared" si="1"/>
        <v>PAIM</v>
      </c>
      <c r="J15" s="14" t="str">
        <f t="shared" si="2"/>
        <v>RODRIGO B.</v>
      </c>
      <c r="L15" s="25" t="str">
        <f t="shared" si="3"/>
        <v>JULINHO</v>
      </c>
      <c r="M15" s="26">
        <f t="shared" si="3"/>
        <v>3</v>
      </c>
      <c r="N15" s="26">
        <f t="shared" si="3"/>
        <v>0</v>
      </c>
      <c r="O15" s="26">
        <f t="shared" si="3"/>
        <v>1</v>
      </c>
      <c r="P15" s="26">
        <f t="shared" si="3"/>
        <v>2</v>
      </c>
      <c r="Q15" s="26">
        <f t="shared" si="3"/>
        <v>0</v>
      </c>
      <c r="R15" s="26">
        <f t="shared" si="3"/>
        <v>1</v>
      </c>
      <c r="S15" s="26">
        <f t="shared" si="3"/>
        <v>-1</v>
      </c>
      <c r="T15" s="27">
        <f t="shared" si="3"/>
        <v>2</v>
      </c>
      <c r="V15" s="14" t="str">
        <f>'Chaves 2a.Fase'!B2</f>
        <v>PUFAL</v>
      </c>
      <c r="W15" s="14">
        <f>COUNT(CHILE_JOGOS)</f>
        <v>3</v>
      </c>
      <c r="X15" s="14">
        <f>COUNTIF(Groupstage_Winner,'Chaves 2a.Fase'!B2)</f>
        <v>0</v>
      </c>
      <c r="Y15" s="14">
        <f>COUNTIF(Groupstage_Loser,'Chaves 2a.Fase'!B2)</f>
        <v>2</v>
      </c>
      <c r="Z15" s="14">
        <f>W15-(X15+Y15)</f>
        <v>1</v>
      </c>
      <c r="AA15" s="14">
        <f>SUM(CHILE_JOGOS)</f>
        <v>0</v>
      </c>
      <c r="AB15" s="14">
        <f>SUM(CHILE_ADV)</f>
        <v>3</v>
      </c>
      <c r="AC15" s="14">
        <f>AA15-AB15</f>
        <v>-3</v>
      </c>
      <c r="AD15" s="14">
        <f>X15*Winpoints+Z15*Drawpoints</f>
        <v>1</v>
      </c>
      <c r="AE15" s="14" t="str">
        <f>IF($AD15&gt;=$AD16,$V15,$V16)</f>
        <v>ZILBER</v>
      </c>
      <c r="AF15" s="14">
        <f>VLOOKUP($AE15,$V15:$AD18,9,FALSE)</f>
        <v>6</v>
      </c>
      <c r="AG15" s="14" t="str">
        <f>IF($AF15&gt;=$AF17,$AE15,$AE17)</f>
        <v>ALEX</v>
      </c>
      <c r="AH15" s="14">
        <f>VLOOKUP($AG15,$V15:$AD18,9,FALSE)</f>
        <v>7</v>
      </c>
      <c r="AI15" s="14" t="str">
        <f>IF($AH15&gt;=$AH18,$AG15,$AG18)</f>
        <v>ALEX</v>
      </c>
      <c r="AJ15" s="14">
        <f>VLOOKUP($AI15,$V15:$AD18,9,FALSE)</f>
        <v>7</v>
      </c>
      <c r="AK15" s="14">
        <f>VLOOKUP($AI15,$V15:$AD18,8,FALSE)</f>
        <v>3</v>
      </c>
      <c r="AL15" s="14" t="str">
        <f>IF(AND($AJ15=$AJ16,$AK16&gt;$AK15),$AI16,$AI15)</f>
        <v>ALEX</v>
      </c>
      <c r="AM15" s="14">
        <f>VLOOKUP($AL15,$V15:$AD18,9,FALSE)</f>
        <v>7</v>
      </c>
      <c r="AN15" s="14">
        <f>VLOOKUP($AL15,$V15:$AD18,8,FALSE)</f>
        <v>3</v>
      </c>
      <c r="AO15" s="14" t="str">
        <f>IF(AND($AM15=$AM17,$AN17&gt;$AN15),$AL17,$AL15)</f>
        <v>ALEX</v>
      </c>
      <c r="AP15" s="14">
        <f>VLOOKUP($AO15,$V15:$AD18,9,FALSE)</f>
        <v>7</v>
      </c>
      <c r="AQ15" s="14">
        <f>VLOOKUP($AO15,$V15:$AD18,8,FALSE)</f>
        <v>3</v>
      </c>
      <c r="AR15" s="14" t="str">
        <f>IF(AND($AP15=$AP18,$AQ18&gt;$AQ15),$AO18,$AO15)</f>
        <v>ALEX</v>
      </c>
      <c r="AS15" s="14">
        <f>VLOOKUP($AR15,$V15:$AD18,9,FALSE)</f>
        <v>7</v>
      </c>
      <c r="AT15" s="14">
        <f>VLOOKUP($AR15,$V15:$AD18,8,FALSE)</f>
        <v>3</v>
      </c>
      <c r="AU15" s="14">
        <f>VLOOKUP($AR15,$V15:$AD18,6,FALSE)</f>
        <v>3</v>
      </c>
      <c r="AV15" s="14" t="str">
        <f>IF(AND($AS15=$AS16,$AT15=$AT16,$AU16&gt;$AU15),$AR16,$AR15)</f>
        <v>ALEX</v>
      </c>
      <c r="AW15" s="14">
        <f>VLOOKUP($AV15,$V15:$AD18,9,FALSE)</f>
        <v>7</v>
      </c>
      <c r="AX15" s="14">
        <f>VLOOKUP($AV15,$V15:$AD18,8,FALSE)</f>
        <v>3</v>
      </c>
      <c r="AY15" s="14">
        <f>VLOOKUP($AV15,$V15:$AD18,6,FALSE)</f>
        <v>3</v>
      </c>
      <c r="AZ15" s="14" t="str">
        <f>IF(AND($AW15=$AW17,$AX15=$AX17,$AY17&gt;$AY15),$AV17,$AV15)</f>
        <v>ALEX</v>
      </c>
      <c r="BA15" s="14">
        <f>VLOOKUP($AZ15,$V15:$AD18,9,FALSE)</f>
        <v>7</v>
      </c>
      <c r="BB15" s="14">
        <f>VLOOKUP($AZ15,$V15:$AD18,8,FALSE)</f>
        <v>3</v>
      </c>
      <c r="BC15" s="14">
        <f>VLOOKUP($AZ15,$V15:$AD18,6,FALSE)</f>
        <v>3</v>
      </c>
      <c r="BD15" s="14" t="str">
        <f>IF(AND($BA15=$BA18,$BB15=$BB18,$BC18&gt;$BC15),$AZ18,$AZ15)</f>
        <v>ALEX</v>
      </c>
      <c r="BE15" s="14">
        <f>VLOOKUP($BD15,$V15:$AD18,9,FALSE)</f>
        <v>7</v>
      </c>
      <c r="BF15" s="14">
        <f>VLOOKUP($BD15,$V15:$AD18,8,FALSE)</f>
        <v>3</v>
      </c>
      <c r="BG15" s="14">
        <f>VLOOKUP($BD15,$V15:$AD18,6,FALSE)</f>
        <v>3</v>
      </c>
      <c r="BK15" s="14" t="str">
        <f>BD15</f>
        <v>ALEX</v>
      </c>
      <c r="BL15" s="14">
        <f>VLOOKUP($BK15,$V15:$AD18,2,FALSE)</f>
        <v>3</v>
      </c>
      <c r="BM15" s="14">
        <f>VLOOKUP($BK15,$V15:$AD18,3,FALSE)</f>
        <v>2</v>
      </c>
      <c r="BN15" s="14">
        <f>VLOOKUP($BK15,$V15:$AD18,4,FALSE)</f>
        <v>0</v>
      </c>
      <c r="BO15" s="14">
        <f>VLOOKUP($BK15,$V15:$AD18,5,FALSE)</f>
        <v>1</v>
      </c>
      <c r="BP15" s="14">
        <f>VLOOKUP($BK15,$V15:$AD18,6,FALSE)</f>
        <v>3</v>
      </c>
      <c r="BQ15" s="14">
        <f>VLOOKUP($BK15,$V15:$AD18,7,FALSE)</f>
        <v>0</v>
      </c>
      <c r="BR15" s="14">
        <f>VLOOKUP($BK15,$V15:$AD18,8,FALSE)</f>
        <v>3</v>
      </c>
      <c r="BS15" s="14">
        <f>VLOOKUP($BK15,$V15:$AD18,9,FALSE)</f>
        <v>7</v>
      </c>
    </row>
    <row r="16" spans="1:71" ht="13.5" customHeight="1" thickBot="1">
      <c r="A16" s="26">
        <v>21</v>
      </c>
      <c r="B16" s="33">
        <v>10</v>
      </c>
      <c r="C16" s="34" t="str">
        <f>'Chaves 2a.Fase'!A9</f>
        <v>MICHEL</v>
      </c>
      <c r="D16" s="49">
        <v>0</v>
      </c>
      <c r="E16" s="48">
        <v>0</v>
      </c>
      <c r="F16" s="35" t="str">
        <f>'Chaves 2a.Fase'!A10</f>
        <v>JOSÉ</v>
      </c>
      <c r="G16" s="36" t="str">
        <f>'Carnet 1a.Fase'!L35</f>
        <v>MARCOS JUNQ.</v>
      </c>
      <c r="H16" s="26"/>
      <c r="I16" s="14" t="str">
        <f t="shared" si="1"/>
        <v>Draw</v>
      </c>
      <c r="J16" s="14" t="str">
        <f t="shared" si="2"/>
        <v>Draw</v>
      </c>
      <c r="L16" s="37" t="str">
        <f t="shared" si="3"/>
        <v>PUFAL</v>
      </c>
      <c r="M16" s="38">
        <f t="shared" si="3"/>
        <v>3</v>
      </c>
      <c r="N16" s="38">
        <f t="shared" si="3"/>
        <v>0</v>
      </c>
      <c r="O16" s="38">
        <f t="shared" si="3"/>
        <v>2</v>
      </c>
      <c r="P16" s="38">
        <f t="shared" si="3"/>
        <v>1</v>
      </c>
      <c r="Q16" s="38">
        <f t="shared" si="3"/>
        <v>0</v>
      </c>
      <c r="R16" s="38">
        <f t="shared" si="3"/>
        <v>3</v>
      </c>
      <c r="S16" s="38">
        <f t="shared" si="3"/>
        <v>-3</v>
      </c>
      <c r="T16" s="39">
        <f t="shared" si="3"/>
        <v>1</v>
      </c>
      <c r="V16" s="14" t="str">
        <f>'Chaves 2a.Fase'!B3</f>
        <v>ZILBER</v>
      </c>
      <c r="W16" s="14">
        <f>COUNT(EQUADOR_JOGOS)</f>
        <v>3</v>
      </c>
      <c r="X16" s="14">
        <f>COUNTIF(Groupstage_Winner,'Chaves 2a.Fase'!B3)</f>
        <v>2</v>
      </c>
      <c r="Y16" s="14">
        <f>COUNTIF(Groupstage_Loser,'Chaves 2a.Fase'!B3)</f>
        <v>1</v>
      </c>
      <c r="Z16" s="14">
        <f>W16-(X16+Y16)</f>
        <v>0</v>
      </c>
      <c r="AA16" s="14">
        <f>SUM(EQUADOR_JOGOS)</f>
        <v>2</v>
      </c>
      <c r="AB16" s="14">
        <f>SUM(EQUADOR_ADV)</f>
        <v>1</v>
      </c>
      <c r="AC16" s="14">
        <f>AA16-AB16</f>
        <v>1</v>
      </c>
      <c r="AD16" s="14">
        <f>X16*Winpoints+Z16*Drawpoints</f>
        <v>6</v>
      </c>
      <c r="AE16" s="14" t="str">
        <f>IF($AD16&lt;=$AD15,$V16,$V15)</f>
        <v>PUFAL</v>
      </c>
      <c r="AF16" s="14">
        <f>VLOOKUP($AE16,$V15:$AD18,9,FALSE)</f>
        <v>1</v>
      </c>
      <c r="AG16" s="14" t="str">
        <f>IF(AF16&gt;=AF18,AE16,AE18)</f>
        <v>JULINHO</v>
      </c>
      <c r="AH16" s="14">
        <f>VLOOKUP($AG16,$V15:$AD18,9,FALSE)</f>
        <v>2</v>
      </c>
      <c r="AI16" s="14" t="str">
        <f>IF($AH16&gt;=$AH17,$AG16,$AG17)</f>
        <v>ZILBER</v>
      </c>
      <c r="AJ16" s="14">
        <f>VLOOKUP($AI16,$V15:$AD18,9,FALSE)</f>
        <v>6</v>
      </c>
      <c r="AK16" s="14">
        <f>VLOOKUP($AI16,$V15:$AD18,8,FALSE)</f>
        <v>1</v>
      </c>
      <c r="AL16" s="14" t="str">
        <f>IF(AND($AJ15=$AJ16,$AK16&gt;$AK15),$AI15,$AI16)</f>
        <v>ZILBER</v>
      </c>
      <c r="AM16" s="14">
        <f>VLOOKUP($AL16,$V15:$AD18,9,FALSE)</f>
        <v>6</v>
      </c>
      <c r="AN16" s="14">
        <f>VLOOKUP($AL16,$V15:$AD18,8,FALSE)</f>
        <v>1</v>
      </c>
      <c r="AO16" s="14" t="str">
        <f>IF(AND($AM16=$AM18,$AN18&gt;$AN16),$AL18,$AL16)</f>
        <v>ZILBER</v>
      </c>
      <c r="AP16" s="14">
        <f>VLOOKUP($AO16,$V15:$AD18,9,FALSE)</f>
        <v>6</v>
      </c>
      <c r="AQ16" s="14">
        <f>VLOOKUP($AO16,$V15:$AD18,8,FALSE)</f>
        <v>1</v>
      </c>
      <c r="AR16" s="14" t="str">
        <f>IF(AND($AP16=$AP17,$AQ17&gt;$AQ16),$AO17,$AO16)</f>
        <v>ZILBER</v>
      </c>
      <c r="AS16" s="14">
        <f>VLOOKUP($AR16,$V15:$AD18,9,FALSE)</f>
        <v>6</v>
      </c>
      <c r="AT16" s="14">
        <f>VLOOKUP($AR16,$V15:$AD18,8,FALSE)</f>
        <v>1</v>
      </c>
      <c r="AU16" s="14">
        <f>VLOOKUP($AR16,$V15:$AD18,6,FALSE)</f>
        <v>2</v>
      </c>
      <c r="AV16" s="14" t="str">
        <f>IF(AND($AS15=$AS16,$AT15=$AT16,$AU16&gt;$AU15),$AR15,$AR16)</f>
        <v>ZILBER</v>
      </c>
      <c r="AW16" s="14">
        <f>VLOOKUP($AV16,$V15:$AD18,9,FALSE)</f>
        <v>6</v>
      </c>
      <c r="AX16" s="14">
        <f>VLOOKUP($AV16,$V15:$AD18,8,FALSE)</f>
        <v>1</v>
      </c>
      <c r="AY16" s="14">
        <f>VLOOKUP($AV16,$V15:$AD18,6,FALSE)</f>
        <v>2</v>
      </c>
      <c r="AZ16" s="14" t="str">
        <f>IF(AND($AW16=$AW18,$AX16=$AX18,$AY18&gt;$AY16),$AV18,$AV16)</f>
        <v>ZILBER</v>
      </c>
      <c r="BA16" s="14">
        <f>VLOOKUP($AZ16,$V15:$AD18,9,FALSE)</f>
        <v>6</v>
      </c>
      <c r="BB16" s="14">
        <f>VLOOKUP($AZ16,$V15:$AD18,8,FALSE)</f>
        <v>1</v>
      </c>
      <c r="BC16" s="14">
        <f>VLOOKUP($AZ16,$V15:$AD18,6,FALSE)</f>
        <v>2</v>
      </c>
      <c r="BD16" s="14" t="str">
        <f>IF(AND($BA16=$BA17,$BB16=$BB17,$BC17&gt;$BC16),$AZ17,$AZ16)</f>
        <v>ZILBER</v>
      </c>
      <c r="BE16" s="14">
        <f>VLOOKUP($BD16,$V15:$AD18,9,FALSE)</f>
        <v>6</v>
      </c>
      <c r="BF16" s="14">
        <f>VLOOKUP($BD16,$V15:$AD18,8,FALSE)</f>
        <v>1</v>
      </c>
      <c r="BG16" s="14">
        <f>VLOOKUP($BD16,$V15:$AD18,6,FALSE)</f>
        <v>2</v>
      </c>
      <c r="BK16" s="14" t="str">
        <f>BD16</f>
        <v>ZILBER</v>
      </c>
      <c r="BL16" s="14">
        <f>VLOOKUP($BK16,$V15:$AD18,2,FALSE)</f>
        <v>3</v>
      </c>
      <c r="BM16" s="14">
        <f>VLOOKUP($BK16,$V15:$AD18,3,FALSE)</f>
        <v>2</v>
      </c>
      <c r="BN16" s="14">
        <f>VLOOKUP($BK16,$V15:$AD18,4,FALSE)</f>
        <v>1</v>
      </c>
      <c r="BO16" s="14">
        <f>VLOOKUP($BK16,$V15:$AD18,5,FALSE)</f>
        <v>0</v>
      </c>
      <c r="BP16" s="14">
        <f>VLOOKUP($BK16,$V15:$AD18,6,FALSE)</f>
        <v>2</v>
      </c>
      <c r="BQ16" s="14">
        <f>VLOOKUP($BK16,$V15:$AD18,7,FALSE)</f>
        <v>1</v>
      </c>
      <c r="BR16" s="14">
        <f>VLOOKUP($BK16,$V15:$AD18,8,FALSE)</f>
        <v>1</v>
      </c>
      <c r="BS16" s="14">
        <f>VLOOKUP($BK16,$V15:$AD18,9,FALSE)</f>
        <v>6</v>
      </c>
    </row>
    <row r="17" spans="1:71" ht="13.5" customHeight="1" thickBot="1">
      <c r="A17" s="26">
        <v>22</v>
      </c>
      <c r="B17" s="33">
        <v>11</v>
      </c>
      <c r="C17" s="34" t="str">
        <f>'Chaves 2a.Fase'!B8</f>
        <v>ELIAS</v>
      </c>
      <c r="D17" s="49">
        <v>0</v>
      </c>
      <c r="E17" s="48">
        <v>0</v>
      </c>
      <c r="F17" s="35" t="str">
        <f>'Chaves 2a.Fase'!B11</f>
        <v>ROBSON</v>
      </c>
      <c r="G17" s="36" t="str">
        <f>'Carnet 1a.Fase'!L98</f>
        <v>SANDRO</v>
      </c>
      <c r="H17" s="26"/>
      <c r="I17" s="14" t="str">
        <f t="shared" si="1"/>
        <v>Draw</v>
      </c>
      <c r="J17" s="14" t="str">
        <f t="shared" si="2"/>
        <v>Draw</v>
      </c>
      <c r="V17" s="14" t="str">
        <f>'Chaves 2a.Fase'!B4</f>
        <v>ALEX</v>
      </c>
      <c r="W17" s="14">
        <f>COUNT(COLOMBIA_JOGOS)</f>
        <v>3</v>
      </c>
      <c r="X17" s="14">
        <f>COUNTIF(Groupstage_Winner,'Chaves 2a.Fase'!B4)</f>
        <v>2</v>
      </c>
      <c r="Y17" s="14">
        <f>COUNTIF(Groupstage_Loser,'Chaves 2a.Fase'!B4)</f>
        <v>0</v>
      </c>
      <c r="Z17" s="14">
        <f>W17-(X17+Y17)</f>
        <v>1</v>
      </c>
      <c r="AA17" s="14">
        <f>SUM(COLOMBIA_JOGOS)</f>
        <v>3</v>
      </c>
      <c r="AB17" s="14">
        <f>SUM(COLOMBIA_ADV)</f>
        <v>0</v>
      </c>
      <c r="AC17" s="14">
        <f>AA17-AB17</f>
        <v>3</v>
      </c>
      <c r="AD17" s="14">
        <f>X17*Winpoints+Z17*Drawpoints</f>
        <v>7</v>
      </c>
      <c r="AE17" s="14" t="str">
        <f>IF($AD17&gt;=$AD18,$V17,$V18)</f>
        <v>ALEX</v>
      </c>
      <c r="AF17" s="14">
        <f>VLOOKUP($AE17,$V15:$AD18,9,FALSE)</f>
        <v>7</v>
      </c>
      <c r="AG17" s="14" t="str">
        <f>IF($AF17&lt;=$AF15,$AE17,$AE15)</f>
        <v>ZILBER</v>
      </c>
      <c r="AH17" s="14">
        <f>VLOOKUP($AG17,$V15:$AD18,9,FALSE)</f>
        <v>6</v>
      </c>
      <c r="AI17" s="14" t="str">
        <f>IF($AH17&lt;=$AH16,$AG17,$AG16)</f>
        <v>JULINHO</v>
      </c>
      <c r="AJ17" s="14">
        <f>VLOOKUP($AI17,$V15:$AD18,9,FALSE)</f>
        <v>2</v>
      </c>
      <c r="AK17" s="14">
        <f>VLOOKUP($AI17,$V15:$AD18,8,FALSE)</f>
        <v>-1</v>
      </c>
      <c r="AL17" s="14" t="str">
        <f>IF(AND($AJ17=$AJ18,$AK18&gt;$AK17),$AI18,$AI17)</f>
        <v>JULINHO</v>
      </c>
      <c r="AM17" s="14">
        <f>VLOOKUP($AL17,$V15:$AD18,9,FALSE)</f>
        <v>2</v>
      </c>
      <c r="AN17" s="14">
        <f>VLOOKUP($AL17,$V15:$AD18,8,FALSE)</f>
        <v>-1</v>
      </c>
      <c r="AO17" s="14" t="str">
        <f>IF(AND($AM15=$AM17,$AN17&gt;$AN15),$AL15,$AL17)</f>
        <v>JULINHO</v>
      </c>
      <c r="AP17" s="14">
        <f>VLOOKUP($AO17,$V15:$AD18,9,FALSE)</f>
        <v>2</v>
      </c>
      <c r="AQ17" s="14">
        <f>VLOOKUP($AO17,$V15:$AD18,8,FALSE)</f>
        <v>-1</v>
      </c>
      <c r="AR17" s="14" t="str">
        <f>IF(AND($AP16=$AP17,$AQ17&gt;$AQ16),$AO16,$AO17)</f>
        <v>JULINHO</v>
      </c>
      <c r="AS17" s="14">
        <f>VLOOKUP($AR17,$V15:$AD18,9,FALSE)</f>
        <v>2</v>
      </c>
      <c r="AT17" s="14">
        <f>VLOOKUP($AR17,$V15:$AD18,8,FALSE)</f>
        <v>-1</v>
      </c>
      <c r="AU17" s="14">
        <f>VLOOKUP($AR17,$V15:$AD18,6,FALSE)</f>
        <v>0</v>
      </c>
      <c r="AV17" s="14" t="str">
        <f>IF(AND($AS17=$AS18,$AT17=$AT18,$AU18&gt;$AU17),$AR18,$AR17)</f>
        <v>JULINHO</v>
      </c>
      <c r="AW17" s="14">
        <f>VLOOKUP($AV17,$V15:$AD18,9,FALSE)</f>
        <v>2</v>
      </c>
      <c r="AX17" s="14">
        <f>VLOOKUP($AV17,$V15:$AD18,8,FALSE)</f>
        <v>-1</v>
      </c>
      <c r="AY17" s="14">
        <f>VLOOKUP($AV17,$V15:$AD18,6,FALSE)</f>
        <v>0</v>
      </c>
      <c r="AZ17" s="14" t="str">
        <f>IF(AND($AW15=$AW17,$AX15=$AX17,$AY17&gt;$AY15),$AV15,$AV17)</f>
        <v>JULINHO</v>
      </c>
      <c r="BA17" s="14">
        <f>VLOOKUP($AZ17,$V15:$AD18,9,FALSE)</f>
        <v>2</v>
      </c>
      <c r="BB17" s="14">
        <f>VLOOKUP($AZ17,$V15:$AD18,8,FALSE)</f>
        <v>-1</v>
      </c>
      <c r="BC17" s="14">
        <f>VLOOKUP($AZ17,$V15:$AD18,6,FALSE)</f>
        <v>0</v>
      </c>
      <c r="BD17" s="14" t="str">
        <f>IF(AND($BA16=$BA17,$BB16=$BB17,$BC17&gt;$BC16),$AZ16,$AZ17)</f>
        <v>JULINHO</v>
      </c>
      <c r="BE17" s="14">
        <f>VLOOKUP($BD17,$V15:$AD18,9,FALSE)</f>
        <v>2</v>
      </c>
      <c r="BF17" s="14">
        <f>VLOOKUP($BD17,$V15:$AD18,8,FALSE)</f>
        <v>-1</v>
      </c>
      <c r="BG17" s="14">
        <f>VLOOKUP($BD17,$V15:$AD18,6,FALSE)</f>
        <v>0</v>
      </c>
      <c r="BK17" s="14" t="str">
        <f>BD17</f>
        <v>JULINHO</v>
      </c>
      <c r="BL17" s="14">
        <f>VLOOKUP($BK17,$V15:$AD18,2,FALSE)</f>
        <v>3</v>
      </c>
      <c r="BM17" s="14">
        <f>VLOOKUP($BK17,$V15:$AD18,3,FALSE)</f>
        <v>0</v>
      </c>
      <c r="BN17" s="14">
        <f>VLOOKUP($BK17,$V15:$AD18,4,FALSE)</f>
        <v>1</v>
      </c>
      <c r="BO17" s="14">
        <f>VLOOKUP($BK17,$V15:$AD18,5,FALSE)</f>
        <v>2</v>
      </c>
      <c r="BP17" s="14">
        <f>VLOOKUP($BK17,$V15:$AD18,6,FALSE)</f>
        <v>0</v>
      </c>
      <c r="BQ17" s="14">
        <f>VLOOKUP($BK17,$V15:$AD18,7,FALSE)</f>
        <v>1</v>
      </c>
      <c r="BR17" s="14">
        <f>VLOOKUP($BK17,$V15:$AD18,8,FALSE)</f>
        <v>-1</v>
      </c>
      <c r="BS17" s="14">
        <f>VLOOKUP($BK17,$V15:$AD18,9,FALSE)</f>
        <v>2</v>
      </c>
    </row>
    <row r="18" spans="1:71" ht="13.5" customHeight="1" thickBot="1">
      <c r="A18" s="44">
        <v>22</v>
      </c>
      <c r="B18" s="45">
        <v>12</v>
      </c>
      <c r="C18" s="34" t="str">
        <f>'Chaves 2a.Fase'!B9</f>
        <v>MARQUINHO</v>
      </c>
      <c r="D18" s="49">
        <v>0</v>
      </c>
      <c r="E18" s="48">
        <v>0</v>
      </c>
      <c r="F18" s="35" t="str">
        <f>'Chaves 2a.Fase'!B10</f>
        <v>LEANDRINHO</v>
      </c>
      <c r="G18" s="35" t="str">
        <f>'Carnet 1a.Fase'!L42</f>
        <v>AUGUSTO</v>
      </c>
      <c r="H18" s="44"/>
      <c r="I18" s="14" t="str">
        <f t="shared" si="1"/>
        <v>Draw</v>
      </c>
      <c r="J18" s="14" t="str">
        <f t="shared" si="2"/>
        <v>Draw</v>
      </c>
      <c r="L18" s="19" t="s">
        <v>150</v>
      </c>
      <c r="M18" s="20"/>
      <c r="N18" s="20"/>
      <c r="O18" s="20"/>
      <c r="P18" s="20"/>
      <c r="Q18" s="20"/>
      <c r="R18" s="20"/>
      <c r="S18" s="20"/>
      <c r="T18" s="21"/>
      <c r="V18" s="14" t="str">
        <f>'Chaves 2a.Fase'!B5</f>
        <v>JULINHO</v>
      </c>
      <c r="W18" s="14">
        <f>COUNT(PERU_JOGOS)</f>
        <v>3</v>
      </c>
      <c r="X18" s="14">
        <f>COUNTIF(Groupstage_Winner,'Chaves 2a.Fase'!B5)</f>
        <v>0</v>
      </c>
      <c r="Y18" s="14">
        <f>COUNTIF(Groupstage_Loser,'Chaves 2a.Fase'!B5)</f>
        <v>1</v>
      </c>
      <c r="Z18" s="14">
        <f>W18-(X18+Y18)</f>
        <v>2</v>
      </c>
      <c r="AA18" s="14">
        <f>SUM(PERU_JOGOS)</f>
        <v>0</v>
      </c>
      <c r="AB18" s="14">
        <f>SUM(PERU_ADV)</f>
        <v>1</v>
      </c>
      <c r="AC18" s="14">
        <f>AA18-AB18</f>
        <v>-1</v>
      </c>
      <c r="AD18" s="14">
        <f>X18*Winpoints+Z18*Drawpoints</f>
        <v>2</v>
      </c>
      <c r="AE18" s="14" t="str">
        <f>IF($AD18&lt;=$AD17,$V18,$V17)</f>
        <v>JULINHO</v>
      </c>
      <c r="AF18" s="14">
        <f>VLOOKUP($AE18,$V15:$AD18,9,FALSE)</f>
        <v>2</v>
      </c>
      <c r="AG18" s="14" t="str">
        <f>IF(AF18&lt;=AF16,AE18,AE16)</f>
        <v>PUFAL</v>
      </c>
      <c r="AH18" s="14">
        <f>VLOOKUP($AG18,$V15:$AD18,9,FALSE)</f>
        <v>1</v>
      </c>
      <c r="AI18" s="14" t="str">
        <f>IF($AH18&lt;=$AH15,$AG18,$AG15)</f>
        <v>PUFAL</v>
      </c>
      <c r="AJ18" s="14">
        <f>VLOOKUP($AI18,$V15:$AD18,9,FALSE)</f>
        <v>1</v>
      </c>
      <c r="AK18" s="14">
        <f>VLOOKUP($AI18,$V15:$AD18,8,FALSE)</f>
        <v>-3</v>
      </c>
      <c r="AL18" s="14" t="str">
        <f>IF(AND($AJ17=$AJ18,$AK18&gt;$AK17),$AI17,$AI18)</f>
        <v>PUFAL</v>
      </c>
      <c r="AM18" s="14">
        <f>VLOOKUP($AL18,$V15:$AD18,9,FALSE)</f>
        <v>1</v>
      </c>
      <c r="AN18" s="14">
        <f>VLOOKUP($AL18,$V15:$AD18,8,FALSE)</f>
        <v>-3</v>
      </c>
      <c r="AO18" s="14" t="str">
        <f>IF(AND($AM16=$AM18,$AN18&gt;$AN16),$AL16,$AL18)</f>
        <v>PUFAL</v>
      </c>
      <c r="AP18" s="14">
        <f>VLOOKUP($AO18,$V15:$AD18,9,FALSE)</f>
        <v>1</v>
      </c>
      <c r="AQ18" s="14">
        <f>VLOOKUP($AO18,$V15:$AD18,8,FALSE)</f>
        <v>-3</v>
      </c>
      <c r="AR18" s="14" t="str">
        <f>IF(AND($AP15=$AP18,$AQ18&gt;$AQ15),$AO15,$AO18)</f>
        <v>PUFAL</v>
      </c>
      <c r="AS18" s="14">
        <f>VLOOKUP($AR18,$V15:$AD18,9,FALSE)</f>
        <v>1</v>
      </c>
      <c r="AT18" s="14">
        <f>VLOOKUP($AR18,$V15:$AD18,8,FALSE)</f>
        <v>-3</v>
      </c>
      <c r="AU18" s="14">
        <f>VLOOKUP($AR18,$V15:$AD18,6,FALSE)</f>
        <v>0</v>
      </c>
      <c r="AV18" s="14" t="str">
        <f>IF(AND($AS17=$AS18,$AT17=$AT18,$AU18&gt;$AU17),$AR17,$AR18)</f>
        <v>PUFAL</v>
      </c>
      <c r="AW18" s="14">
        <f>VLOOKUP($AV18,$V15:$AD18,9,FALSE)</f>
        <v>1</v>
      </c>
      <c r="AX18" s="14">
        <f>VLOOKUP($AV18,$V15:$AD18,8,FALSE)</f>
        <v>-3</v>
      </c>
      <c r="AY18" s="14">
        <f>VLOOKUP($AV18,$V15:$AD18,6,FALSE)</f>
        <v>0</v>
      </c>
      <c r="AZ18" s="14" t="str">
        <f>IF(AND($AW16=$AW18,$AX16=$AX18,$AY18&gt;$AY16),$AV16,$AV18)</f>
        <v>PUFAL</v>
      </c>
      <c r="BA18" s="14">
        <f>VLOOKUP($AZ18,$V15:$AD18,9,FALSE)</f>
        <v>1</v>
      </c>
      <c r="BB18" s="14">
        <f>VLOOKUP($AZ18,$V15:$AD18,8,FALSE)</f>
        <v>-3</v>
      </c>
      <c r="BC18" s="14">
        <f>VLOOKUP($AZ18,$V15:$AD18,6,FALSE)</f>
        <v>0</v>
      </c>
      <c r="BD18" s="14" t="str">
        <f>IF(AND($BA15=$BA18,$BB15=$BB18,$BC18&gt;$BC15),$AZ15,$AZ18)</f>
        <v>PUFAL</v>
      </c>
      <c r="BE18" s="14">
        <f>VLOOKUP($BD18,$V15:$AD18,9,FALSE)</f>
        <v>1</v>
      </c>
      <c r="BF18" s="14">
        <f>VLOOKUP($BD18,$V15:$AD18,8,FALSE)</f>
        <v>-3</v>
      </c>
      <c r="BG18" s="14">
        <f>VLOOKUP($BD18,$V15:$AD18,6,FALSE)</f>
        <v>0</v>
      </c>
      <c r="BK18" s="14" t="str">
        <f>BD18</f>
        <v>PUFAL</v>
      </c>
      <c r="BL18" s="14">
        <f>VLOOKUP($BK18,$V15:$AD18,2,FALSE)</f>
        <v>3</v>
      </c>
      <c r="BM18" s="14">
        <f>VLOOKUP($BK18,$V15:$AD18,3,FALSE)</f>
        <v>0</v>
      </c>
      <c r="BN18" s="14">
        <f>VLOOKUP($BK18,$V15:$AD18,4,FALSE)</f>
        <v>2</v>
      </c>
      <c r="BO18" s="14">
        <f>VLOOKUP($BK18,$V15:$AD18,5,FALSE)</f>
        <v>1</v>
      </c>
      <c r="BP18" s="14">
        <f>VLOOKUP($BK18,$V15:$AD18,6,FALSE)</f>
        <v>0</v>
      </c>
      <c r="BQ18" s="14">
        <f>VLOOKUP($BK18,$V15:$AD18,7,FALSE)</f>
        <v>3</v>
      </c>
      <c r="BR18" s="14">
        <f>VLOOKUP($BK18,$V15:$AD18,8,FALSE)</f>
        <v>-3</v>
      </c>
      <c r="BS18" s="14">
        <f>VLOOKUP($BK18,$V15:$AD18,9,FALSE)</f>
        <v>1</v>
      </c>
    </row>
    <row r="19" spans="1:20" ht="13.5" customHeight="1" thickBot="1">
      <c r="A19" s="40">
        <v>23</v>
      </c>
      <c r="B19" s="41">
        <v>13</v>
      </c>
      <c r="C19" s="42" t="str">
        <f>'Chaves 2a.Fase'!C8</f>
        <v>LEÃO</v>
      </c>
      <c r="D19" s="49">
        <v>0</v>
      </c>
      <c r="E19" s="48">
        <v>0</v>
      </c>
      <c r="F19" s="43" t="str">
        <f>'Chaves 2a.Fase'!C11</f>
        <v>NILMAR</v>
      </c>
      <c r="G19" s="43" t="str">
        <f>'Carnet 1a.Fase'!L105</f>
        <v>MATEUS</v>
      </c>
      <c r="H19" s="40"/>
      <c r="I19" s="14" t="str">
        <f t="shared" si="1"/>
        <v>Draw</v>
      </c>
      <c r="J19" s="14" t="str">
        <f t="shared" si="2"/>
        <v>Draw</v>
      </c>
      <c r="L19" s="22"/>
      <c r="M19" s="23" t="s">
        <v>83</v>
      </c>
      <c r="N19" s="23" t="s">
        <v>84</v>
      </c>
      <c r="O19" s="23" t="s">
        <v>85</v>
      </c>
      <c r="P19" s="23" t="s">
        <v>86</v>
      </c>
      <c r="Q19" s="23" t="s">
        <v>87</v>
      </c>
      <c r="R19" s="23" t="s">
        <v>88</v>
      </c>
      <c r="S19" s="23" t="s">
        <v>89</v>
      </c>
      <c r="T19" s="24" t="s">
        <v>90</v>
      </c>
    </row>
    <row r="20" spans="1:22" ht="13.5" customHeight="1" thickBot="1">
      <c r="A20" s="26">
        <v>23</v>
      </c>
      <c r="B20" s="33">
        <v>14</v>
      </c>
      <c r="C20" s="34" t="str">
        <f>'Chaves 2a.Fase'!C9</f>
        <v>ALESSANDRO</v>
      </c>
      <c r="D20" s="49">
        <v>1</v>
      </c>
      <c r="E20" s="48">
        <v>0</v>
      </c>
      <c r="F20" s="35" t="str">
        <f>'Chaves 2a.Fase'!C10</f>
        <v>OSMAR</v>
      </c>
      <c r="G20" s="36" t="str">
        <f>'Carnet 1a.Fase'!L49</f>
        <v>MARCOS ANT.</v>
      </c>
      <c r="H20" s="26"/>
      <c r="I20" s="14" t="str">
        <f t="shared" si="1"/>
        <v>ALESSANDRO</v>
      </c>
      <c r="J20" s="14" t="str">
        <f t="shared" si="2"/>
        <v>OSMAR</v>
      </c>
      <c r="L20" s="25" t="str">
        <f aca="true" t="shared" si="4" ref="L20:T23">BK22</f>
        <v>JONI</v>
      </c>
      <c r="M20" s="26">
        <f t="shared" si="4"/>
        <v>3</v>
      </c>
      <c r="N20" s="26">
        <f t="shared" si="4"/>
        <v>1</v>
      </c>
      <c r="O20" s="26">
        <f t="shared" si="4"/>
        <v>0</v>
      </c>
      <c r="P20" s="26">
        <f t="shared" si="4"/>
        <v>2</v>
      </c>
      <c r="Q20" s="26">
        <f t="shared" si="4"/>
        <v>5</v>
      </c>
      <c r="R20" s="26">
        <f t="shared" si="4"/>
        <v>2</v>
      </c>
      <c r="S20" s="26">
        <f t="shared" si="4"/>
        <v>3</v>
      </c>
      <c r="T20" s="27">
        <f t="shared" si="4"/>
        <v>5</v>
      </c>
      <c r="V20" s="14" t="s">
        <v>151</v>
      </c>
    </row>
    <row r="21" spans="1:30" ht="13.5" customHeight="1" thickBot="1">
      <c r="A21" s="26">
        <v>24</v>
      </c>
      <c r="B21" s="33">
        <v>15</v>
      </c>
      <c r="C21" s="34" t="str">
        <f>'Chaves 2a.Fase'!D8</f>
        <v>ALDIR</v>
      </c>
      <c r="D21" s="49">
        <v>0</v>
      </c>
      <c r="E21" s="48">
        <v>3</v>
      </c>
      <c r="F21" s="35" t="str">
        <f>'Chaves 2a.Fase'!D11</f>
        <v>FELIPE</v>
      </c>
      <c r="G21" s="36" t="str">
        <f>'Carnet 1a.Fase'!L112</f>
        <v>ROGÉRIO HAR.</v>
      </c>
      <c r="H21" s="26"/>
      <c r="I21" s="14" t="str">
        <f t="shared" si="1"/>
        <v>FELIPE</v>
      </c>
      <c r="J21" s="14" t="str">
        <f t="shared" si="2"/>
        <v>ALDIR</v>
      </c>
      <c r="L21" s="25" t="str">
        <f t="shared" si="4"/>
        <v>BRANDÃO</v>
      </c>
      <c r="M21" s="26">
        <f t="shared" si="4"/>
        <v>3</v>
      </c>
      <c r="N21" s="26">
        <f t="shared" si="4"/>
        <v>1</v>
      </c>
      <c r="O21" s="26">
        <f t="shared" si="4"/>
        <v>0</v>
      </c>
      <c r="P21" s="26">
        <f t="shared" si="4"/>
        <v>2</v>
      </c>
      <c r="Q21" s="26">
        <f t="shared" si="4"/>
        <v>3</v>
      </c>
      <c r="R21" s="26">
        <f t="shared" si="4"/>
        <v>2</v>
      </c>
      <c r="S21" s="26">
        <f t="shared" si="4"/>
        <v>1</v>
      </c>
      <c r="T21" s="27">
        <f t="shared" si="4"/>
        <v>5</v>
      </c>
      <c r="W21" s="14" t="s">
        <v>107</v>
      </c>
      <c r="X21" s="14" t="s">
        <v>108</v>
      </c>
      <c r="Y21" s="14" t="s">
        <v>109</v>
      </c>
      <c r="Z21" s="14" t="s">
        <v>85</v>
      </c>
      <c r="AA21" s="14" t="s">
        <v>110</v>
      </c>
      <c r="AB21" s="14" t="s">
        <v>111</v>
      </c>
      <c r="AC21" s="14" t="s">
        <v>112</v>
      </c>
      <c r="AD21" s="14" t="s">
        <v>113</v>
      </c>
    </row>
    <row r="22" spans="1:71" ht="13.5" customHeight="1" thickBot="1">
      <c r="A22" s="26">
        <v>24</v>
      </c>
      <c r="B22" s="33">
        <v>16</v>
      </c>
      <c r="C22" s="34" t="str">
        <f>'Chaves 2a.Fase'!D9</f>
        <v>DIOGO MALLET</v>
      </c>
      <c r="D22" s="49">
        <v>1</v>
      </c>
      <c r="E22" s="48">
        <v>1</v>
      </c>
      <c r="F22" s="35" t="str">
        <f>'Chaves 2a.Fase'!D10</f>
        <v>SILVIO</v>
      </c>
      <c r="G22" s="36" t="s">
        <v>31</v>
      </c>
      <c r="H22" s="26"/>
      <c r="I22" s="14" t="str">
        <f t="shared" si="1"/>
        <v>Draw</v>
      </c>
      <c r="J22" s="14" t="str">
        <f t="shared" si="2"/>
        <v>Draw</v>
      </c>
      <c r="L22" s="25" t="str">
        <f t="shared" si="4"/>
        <v>DUDA</v>
      </c>
      <c r="M22" s="26">
        <f t="shared" si="4"/>
        <v>3</v>
      </c>
      <c r="N22" s="26">
        <f t="shared" si="4"/>
        <v>0</v>
      </c>
      <c r="O22" s="26">
        <f t="shared" si="4"/>
        <v>1</v>
      </c>
      <c r="P22" s="26">
        <f t="shared" si="4"/>
        <v>2</v>
      </c>
      <c r="Q22" s="26">
        <f t="shared" si="4"/>
        <v>0</v>
      </c>
      <c r="R22" s="26">
        <f t="shared" si="4"/>
        <v>1</v>
      </c>
      <c r="S22" s="26">
        <f t="shared" si="4"/>
        <v>-1</v>
      </c>
      <c r="T22" s="27">
        <f t="shared" si="4"/>
        <v>2</v>
      </c>
      <c r="V22" s="14" t="str">
        <f>'Chaves 2a.Fase'!C2</f>
        <v>BRANDÃO</v>
      </c>
      <c r="W22" s="14">
        <f>COUNT(VENEZUELA_JOGOS)</f>
        <v>3</v>
      </c>
      <c r="X22" s="14">
        <f>COUNTIF(Groupstage_Winner,'Chaves 2a.Fase'!C2)</f>
        <v>1</v>
      </c>
      <c r="Y22" s="14">
        <f>COUNTIF(Groupstage_Loser,'Chaves 2a.Fase'!C2)</f>
        <v>0</v>
      </c>
      <c r="Z22" s="14">
        <f>W22-(X22+Y22)</f>
        <v>2</v>
      </c>
      <c r="AA22" s="14">
        <f>SUM(VENEZUELA_JOGOS)</f>
        <v>3</v>
      </c>
      <c r="AB22" s="14">
        <f>SUM(VENEZUELA_ADV)</f>
        <v>2</v>
      </c>
      <c r="AC22" s="14">
        <f>AA22-AB22</f>
        <v>1</v>
      </c>
      <c r="AD22" s="14">
        <f>X22*Winpoints+Z22*Drawpoints</f>
        <v>5</v>
      </c>
      <c r="AE22" s="14" t="str">
        <f>IF($AD22&gt;=$AD23,$V22,$V23)</f>
        <v>BRANDÃO</v>
      </c>
      <c r="AF22" s="14">
        <f>VLOOKUP($AE22,$V22:$AD25,9,FALSE)</f>
        <v>5</v>
      </c>
      <c r="AG22" s="14" t="str">
        <f>IF($AF22&gt;=$AF24,$AE22,$AE24)</f>
        <v>BRANDÃO</v>
      </c>
      <c r="AH22" s="14">
        <f>VLOOKUP($AG22,$V22:$AD25,9,FALSE)</f>
        <v>5</v>
      </c>
      <c r="AI22" s="14" t="str">
        <f>IF($AH22&gt;=$AH25,$AG22,$AG25)</f>
        <v>BRANDÃO</v>
      </c>
      <c r="AJ22" s="14">
        <f>VLOOKUP($AI22,$V22:$AD25,9,FALSE)</f>
        <v>5</v>
      </c>
      <c r="AK22" s="14">
        <f>VLOOKUP($AI22,$V22:$AD25,8,FALSE)</f>
        <v>1</v>
      </c>
      <c r="AL22" s="14" t="str">
        <f>IF(AND($AJ22=$AJ23,$AK23&gt;$AK22),$AI23,$AI22)</f>
        <v>JONI</v>
      </c>
      <c r="AM22" s="14">
        <f>VLOOKUP($AL22,$V22:$AD25,9,FALSE)</f>
        <v>5</v>
      </c>
      <c r="AN22" s="14">
        <f>VLOOKUP($AL22,$V22:$AD25,8,FALSE)</f>
        <v>3</v>
      </c>
      <c r="AO22" s="14" t="str">
        <f>IF(AND($AM22=$AM24,$AN24&gt;$AN22),$AL24,$AL22)</f>
        <v>JONI</v>
      </c>
      <c r="AP22" s="14">
        <f>VLOOKUP($AO22,$V22:$AD25,9,FALSE)</f>
        <v>5</v>
      </c>
      <c r="AQ22" s="14">
        <f>VLOOKUP($AO22,$V22:$AD25,8,FALSE)</f>
        <v>3</v>
      </c>
      <c r="AR22" s="14" t="str">
        <f>IF(AND($AP22=$AP25,$AQ25&gt;$AQ22),$AO25,$AO22)</f>
        <v>JONI</v>
      </c>
      <c r="AS22" s="14">
        <f>VLOOKUP($AR22,$V22:$AD25,9,FALSE)</f>
        <v>5</v>
      </c>
      <c r="AT22" s="14">
        <f>VLOOKUP($AR22,$V22:$AD25,8,FALSE)</f>
        <v>3</v>
      </c>
      <c r="AU22" s="14">
        <f>VLOOKUP($AR22,$V22:$AD25,6,FALSE)</f>
        <v>5</v>
      </c>
      <c r="AV22" s="14" t="str">
        <f>IF(AND($AS22=$AS23,$AT22=$AT23,$AU23&gt;$AU22),$AR23,$AR22)</f>
        <v>JONI</v>
      </c>
      <c r="AW22" s="14">
        <f>VLOOKUP($AV22,$V22:$AD25,9,FALSE)</f>
        <v>5</v>
      </c>
      <c r="AX22" s="14">
        <f>VLOOKUP($AV22,$V22:$AD25,8,FALSE)</f>
        <v>3</v>
      </c>
      <c r="AY22" s="14">
        <f>VLOOKUP($AV22,$V22:$AD25,6,FALSE)</f>
        <v>5</v>
      </c>
      <c r="AZ22" s="14" t="str">
        <f>IF(AND($AW22=$AW24,$AX22=$AX24,$AY24&gt;$AY22),$AV24,$AV22)</f>
        <v>JONI</v>
      </c>
      <c r="BA22" s="14">
        <f>VLOOKUP($AZ22,$V22:$AD25,9,FALSE)</f>
        <v>5</v>
      </c>
      <c r="BB22" s="14">
        <f>VLOOKUP($AZ22,$V22:$AD25,8,FALSE)</f>
        <v>3</v>
      </c>
      <c r="BC22" s="14">
        <f>VLOOKUP($AZ22,$V22:$AD25,6,FALSE)</f>
        <v>5</v>
      </c>
      <c r="BD22" s="14" t="str">
        <f>IF(AND($BA22=$BA25,$BB22=$BB25,$BC25&gt;$BC22),$AZ25,$AZ22)</f>
        <v>JONI</v>
      </c>
      <c r="BE22" s="14">
        <f>VLOOKUP($BD22,$V22:$AD25,9,FALSE)</f>
        <v>5</v>
      </c>
      <c r="BF22" s="14">
        <f>VLOOKUP($BD22,$V22:$AD25,8,FALSE)</f>
        <v>3</v>
      </c>
      <c r="BG22" s="14">
        <f>VLOOKUP($BD22,$V22:$AD25,6,FALSE)</f>
        <v>5</v>
      </c>
      <c r="BK22" s="14" t="str">
        <f>BD22</f>
        <v>JONI</v>
      </c>
      <c r="BL22" s="14">
        <f>VLOOKUP($BK22,$V22:$AD25,2,FALSE)</f>
        <v>3</v>
      </c>
      <c r="BM22" s="14">
        <f>VLOOKUP($BK22,$V22:$AD25,3,FALSE)</f>
        <v>1</v>
      </c>
      <c r="BN22" s="14">
        <f>VLOOKUP($BK22,$V22:$AD25,4,FALSE)</f>
        <v>0</v>
      </c>
      <c r="BO22" s="14">
        <f>VLOOKUP($BK22,$V22:$AD25,5,FALSE)</f>
        <v>2</v>
      </c>
      <c r="BP22" s="14">
        <f>VLOOKUP($BK22,$V22:$AD25,6,FALSE)</f>
        <v>5</v>
      </c>
      <c r="BQ22" s="14">
        <f>VLOOKUP($BK22,$V22:$AD25,7,FALSE)</f>
        <v>2</v>
      </c>
      <c r="BR22" s="14">
        <f>VLOOKUP($BK22,$V22:$AD25,8,FALSE)</f>
        <v>3</v>
      </c>
      <c r="BS22" s="14">
        <f>VLOOKUP($BK22,$V22:$AD25,9,FALSE)</f>
        <v>5</v>
      </c>
    </row>
    <row r="23" spans="1:71" ht="15" customHeight="1">
      <c r="A23" s="77" t="s">
        <v>152</v>
      </c>
      <c r="B23" s="77"/>
      <c r="C23" s="77"/>
      <c r="D23" s="77"/>
      <c r="E23" s="77"/>
      <c r="F23" s="77"/>
      <c r="G23" s="77"/>
      <c r="H23" s="77"/>
      <c r="L23" s="37" t="str">
        <f t="shared" si="4"/>
        <v>MALLET</v>
      </c>
      <c r="M23" s="38">
        <f t="shared" si="4"/>
        <v>3</v>
      </c>
      <c r="N23" s="38">
        <f t="shared" si="4"/>
        <v>0</v>
      </c>
      <c r="O23" s="38">
        <f t="shared" si="4"/>
        <v>1</v>
      </c>
      <c r="P23" s="38">
        <f t="shared" si="4"/>
        <v>2</v>
      </c>
      <c r="Q23" s="38">
        <f t="shared" si="4"/>
        <v>0</v>
      </c>
      <c r="R23" s="38">
        <f t="shared" si="4"/>
        <v>3</v>
      </c>
      <c r="S23" s="38">
        <f t="shared" si="4"/>
        <v>-3</v>
      </c>
      <c r="T23" s="39">
        <f t="shared" si="4"/>
        <v>2</v>
      </c>
      <c r="V23" s="14" t="str">
        <f>'Chaves 2a.Fase'!C3</f>
        <v>DUDA</v>
      </c>
      <c r="W23" s="14">
        <f>COUNT(MEXICO_JOGOS)</f>
        <v>3</v>
      </c>
      <c r="X23" s="14">
        <f>COUNTIF(Groupstage_Winner,'Chaves 2a.Fase'!C3)</f>
        <v>0</v>
      </c>
      <c r="Y23" s="14">
        <f>COUNTIF(Groupstage_Loser,'Chaves 2a.Fase'!C3)</f>
        <v>1</v>
      </c>
      <c r="Z23" s="14">
        <f>W23-(X23+Y23)</f>
        <v>2</v>
      </c>
      <c r="AA23" s="14">
        <f>SUM(MEXICO_JOGOS)</f>
        <v>0</v>
      </c>
      <c r="AB23" s="14">
        <f>SUM(MEXICO_ADV)</f>
        <v>1</v>
      </c>
      <c r="AC23" s="14">
        <f>AA23-AB23</f>
        <v>-1</v>
      </c>
      <c r="AD23" s="14">
        <f>X23*Winpoints+Z23*Drawpoints</f>
        <v>2</v>
      </c>
      <c r="AE23" s="14" t="str">
        <f>IF($AD23&lt;=$AD22,$V23,$V22)</f>
        <v>DUDA</v>
      </c>
      <c r="AF23" s="14">
        <f>VLOOKUP($AE23,$V22:$AD25,9,FALSE)</f>
        <v>2</v>
      </c>
      <c r="AG23" s="14" t="str">
        <f>IF(AF23&gt;=AF25,AE23,AE25)</f>
        <v>DUDA</v>
      </c>
      <c r="AH23" s="14">
        <f>VLOOKUP($AG23,$V22:$AD25,9,FALSE)</f>
        <v>2</v>
      </c>
      <c r="AI23" s="14" t="str">
        <f>IF($AH23&gt;=$AH24,$AG23,$AG24)</f>
        <v>JONI</v>
      </c>
      <c r="AJ23" s="14">
        <f>VLOOKUP($AI23,$V22:$AD25,9,FALSE)</f>
        <v>5</v>
      </c>
      <c r="AK23" s="14">
        <f>VLOOKUP($AI23,$V22:$AD25,8,FALSE)</f>
        <v>3</v>
      </c>
      <c r="AL23" s="14" t="str">
        <f>IF(AND($AJ22=$AJ23,$AK23&gt;$AK22),$AI22,$AI23)</f>
        <v>BRANDÃO</v>
      </c>
      <c r="AM23" s="14">
        <f>VLOOKUP($AL23,$V22:$AD25,9,FALSE)</f>
        <v>5</v>
      </c>
      <c r="AN23" s="14">
        <f>VLOOKUP($AL23,$V22:$AD25,8,FALSE)</f>
        <v>1</v>
      </c>
      <c r="AO23" s="14" t="str">
        <f>IF(AND($AM23=$AM25,$AN25&gt;$AN23),$AL25,$AL23)</f>
        <v>BRANDÃO</v>
      </c>
      <c r="AP23" s="14">
        <f>VLOOKUP($AO23,$V22:$AD25,9,FALSE)</f>
        <v>5</v>
      </c>
      <c r="AQ23" s="14">
        <f>VLOOKUP($AO23,$V22:$AD25,8,FALSE)</f>
        <v>1</v>
      </c>
      <c r="AR23" s="14" t="str">
        <f>IF(AND($AP23=$AP24,$AQ24&gt;$AQ23),$AO24,$AO23)</f>
        <v>BRANDÃO</v>
      </c>
      <c r="AS23" s="14">
        <f>VLOOKUP($AR23,$V22:$AD25,9,FALSE)</f>
        <v>5</v>
      </c>
      <c r="AT23" s="14">
        <f>VLOOKUP($AR23,$V22:$AD25,8,FALSE)</f>
        <v>1</v>
      </c>
      <c r="AU23" s="14">
        <f>VLOOKUP($AR23,$V22:$AD25,6,FALSE)</f>
        <v>3</v>
      </c>
      <c r="AV23" s="14" t="str">
        <f>IF(AND($AS22=$AS23,$AT22=$AT23,$AU23&gt;$AU22),$AR22,$AR23)</f>
        <v>BRANDÃO</v>
      </c>
      <c r="AW23" s="14">
        <f>VLOOKUP($AV23,$V22:$AD25,9,FALSE)</f>
        <v>5</v>
      </c>
      <c r="AX23" s="14">
        <f>VLOOKUP($AV23,$V22:$AD25,8,FALSE)</f>
        <v>1</v>
      </c>
      <c r="AY23" s="14">
        <f>VLOOKUP($AV23,$V22:$AD25,6,FALSE)</f>
        <v>3</v>
      </c>
      <c r="AZ23" s="14" t="str">
        <f>IF(AND($AW23=$AW25,$AX23=$AX25,$AY25&gt;$AY23),$AV25,$AV23)</f>
        <v>BRANDÃO</v>
      </c>
      <c r="BA23" s="14">
        <f>VLOOKUP($AZ23,$V22:$AD25,9,FALSE)</f>
        <v>5</v>
      </c>
      <c r="BB23" s="14">
        <f>VLOOKUP($AZ23,$V22:$AD25,8,FALSE)</f>
        <v>1</v>
      </c>
      <c r="BC23" s="14">
        <f>VLOOKUP($AZ23,$V22:$AD25,6,FALSE)</f>
        <v>3</v>
      </c>
      <c r="BD23" s="14" t="str">
        <f>IF(AND($BA23=$BA24,$BB23=$BB24,$BC24&gt;$BC23),$AZ24,$AZ23)</f>
        <v>BRANDÃO</v>
      </c>
      <c r="BE23" s="14">
        <f>VLOOKUP($BD23,$V22:$AD25,9,FALSE)</f>
        <v>5</v>
      </c>
      <c r="BF23" s="14">
        <f>VLOOKUP($BD23,$V22:$AD25,8,FALSE)</f>
        <v>1</v>
      </c>
      <c r="BG23" s="14">
        <f>VLOOKUP($BD23,$V22:$AD25,6,FALSE)</f>
        <v>3</v>
      </c>
      <c r="BK23" s="14" t="str">
        <f>BD23</f>
        <v>BRANDÃO</v>
      </c>
      <c r="BL23" s="14">
        <f>VLOOKUP($BK23,$V22:$AD25,2,FALSE)</f>
        <v>3</v>
      </c>
      <c r="BM23" s="14">
        <f>VLOOKUP($BK23,$V22:$AD25,3,FALSE)</f>
        <v>1</v>
      </c>
      <c r="BN23" s="14">
        <f>VLOOKUP($BK23,$V22:$AD25,4,FALSE)</f>
        <v>0</v>
      </c>
      <c r="BO23" s="14">
        <f>VLOOKUP($BK23,$V22:$AD25,5,FALSE)</f>
        <v>2</v>
      </c>
      <c r="BP23" s="14">
        <f>VLOOKUP($BK23,$V22:$AD25,6,FALSE)</f>
        <v>3</v>
      </c>
      <c r="BQ23" s="14">
        <f>VLOOKUP($BK23,$V22:$AD25,7,FALSE)</f>
        <v>2</v>
      </c>
      <c r="BR23" s="14">
        <f>VLOOKUP($BK23,$V22:$AD25,8,FALSE)</f>
        <v>1</v>
      </c>
      <c r="BS23" s="14">
        <f>VLOOKUP($BK23,$V22:$AD25,9,FALSE)</f>
        <v>5</v>
      </c>
    </row>
    <row r="24" spans="1:71" ht="13.5" customHeight="1" thickBot="1">
      <c r="A24" s="26">
        <v>17</v>
      </c>
      <c r="B24" s="33">
        <v>1</v>
      </c>
      <c r="C24" s="34" t="str">
        <f>'Chaves 2a.Fase'!A4</f>
        <v>EMERSON</v>
      </c>
      <c r="D24" s="50">
        <v>0</v>
      </c>
      <c r="E24" s="51">
        <v>0</v>
      </c>
      <c r="F24" s="35" t="str">
        <f>'Chaves 2a.Fase'!A2</f>
        <v>JOÃO GARIMA</v>
      </c>
      <c r="G24" s="36" t="str">
        <f>'Carnet 1a.Fase'!L62</f>
        <v>OCHOINHA</v>
      </c>
      <c r="H24" s="26"/>
      <c r="I24" s="14" t="str">
        <f t="shared" si="1"/>
        <v>Draw</v>
      </c>
      <c r="J24" s="14" t="str">
        <f t="shared" si="2"/>
        <v>Draw</v>
      </c>
      <c r="V24" s="14" t="str">
        <f>'Chaves 2a.Fase'!C4</f>
        <v>MALLET</v>
      </c>
      <c r="W24" s="14">
        <f>COUNT(CANADA_JOGOS)</f>
        <v>3</v>
      </c>
      <c r="X24" s="14">
        <f>COUNTIF(Groupstage_Winner,'Chaves 2a.Fase'!C4)</f>
        <v>0</v>
      </c>
      <c r="Y24" s="14">
        <f>COUNTIF(Groupstage_Loser,'Chaves 2a.Fase'!C4)</f>
        <v>1</v>
      </c>
      <c r="Z24" s="14">
        <f>W24-(X24+Y24)</f>
        <v>2</v>
      </c>
      <c r="AA24" s="14">
        <f>SUM(CANADA_JOGOS)</f>
        <v>0</v>
      </c>
      <c r="AB24" s="14">
        <f>SUM(CANADA_ADV)</f>
        <v>3</v>
      </c>
      <c r="AC24" s="14">
        <f>AA24-AB24</f>
        <v>-3</v>
      </c>
      <c r="AD24" s="14">
        <f>X24*Winpoints+Z24*Drawpoints</f>
        <v>2</v>
      </c>
      <c r="AE24" s="14" t="str">
        <f>IF($AD24&gt;=$AD25,$V24,$V25)</f>
        <v>JONI</v>
      </c>
      <c r="AF24" s="14">
        <f>VLOOKUP($AE24,$V22:$AD25,9,FALSE)</f>
        <v>5</v>
      </c>
      <c r="AG24" s="14" t="str">
        <f>IF($AF24&lt;=$AF22,$AE24,$AE22)</f>
        <v>JONI</v>
      </c>
      <c r="AH24" s="14">
        <f>VLOOKUP($AG24,$V22:$AD25,9,FALSE)</f>
        <v>5</v>
      </c>
      <c r="AI24" s="14" t="str">
        <f>IF($AH24&lt;=$AH23,$AG24,$AG23)</f>
        <v>DUDA</v>
      </c>
      <c r="AJ24" s="14">
        <f>VLOOKUP($AI24,$V22:$AD25,9,FALSE)</f>
        <v>2</v>
      </c>
      <c r="AK24" s="14">
        <f>VLOOKUP($AI24,$V22:$AD25,8,FALSE)</f>
        <v>-1</v>
      </c>
      <c r="AL24" s="14" t="str">
        <f>IF(AND($AJ24=$AJ25,$AK25&gt;$AK24),$AI25,$AI24)</f>
        <v>DUDA</v>
      </c>
      <c r="AM24" s="14">
        <f>VLOOKUP($AL24,$V22:$AD25,9,FALSE)</f>
        <v>2</v>
      </c>
      <c r="AN24" s="14">
        <f>VLOOKUP($AL24,$V22:$AD25,8,FALSE)</f>
        <v>-1</v>
      </c>
      <c r="AO24" s="14" t="str">
        <f>IF(AND($AM22=$AM24,$AN24&gt;$AN22),$AL22,$AL24)</f>
        <v>DUDA</v>
      </c>
      <c r="AP24" s="14">
        <f>VLOOKUP($AO24,$V22:$AD25,9,FALSE)</f>
        <v>2</v>
      </c>
      <c r="AQ24" s="14">
        <f>VLOOKUP($AO24,$V22:$AD25,8,FALSE)</f>
        <v>-1</v>
      </c>
      <c r="AR24" s="14" t="str">
        <f>IF(AND($AP23=$AP24,$AQ24&gt;$AQ23),$AO23,$AO24)</f>
        <v>DUDA</v>
      </c>
      <c r="AS24" s="14">
        <f>VLOOKUP($AR24,$V22:$AD25,9,FALSE)</f>
        <v>2</v>
      </c>
      <c r="AT24" s="14">
        <f>VLOOKUP($AR24,$V22:$AD25,8,FALSE)</f>
        <v>-1</v>
      </c>
      <c r="AU24" s="14">
        <f>VLOOKUP($AR24,$V22:$AD25,6,FALSE)</f>
        <v>0</v>
      </c>
      <c r="AV24" s="14" t="str">
        <f>IF(AND($AS24=$AS25,$AT24=$AT25,$AU25&gt;$AU24),$AR25,$AR24)</f>
        <v>DUDA</v>
      </c>
      <c r="AW24" s="14">
        <f>VLOOKUP($AV24,$V22:$AD25,9,FALSE)</f>
        <v>2</v>
      </c>
      <c r="AX24" s="14">
        <f>VLOOKUP($AV24,$V22:$AD25,8,FALSE)</f>
        <v>-1</v>
      </c>
      <c r="AY24" s="14">
        <f>VLOOKUP($AV24,$V22:$AD25,6,FALSE)</f>
        <v>0</v>
      </c>
      <c r="AZ24" s="14" t="str">
        <f>IF(AND($AW22=$AW24,$AX22=$AX24,$AY24&gt;$AY22),$AV22,$AV24)</f>
        <v>DUDA</v>
      </c>
      <c r="BA24" s="14">
        <f>VLOOKUP($AZ24,$V22:$AD25,9,FALSE)</f>
        <v>2</v>
      </c>
      <c r="BB24" s="14">
        <f>VLOOKUP($AZ24,$V22:$AD25,8,FALSE)</f>
        <v>-1</v>
      </c>
      <c r="BC24" s="14">
        <f>VLOOKUP($AZ24,$V22:$AD25,6,FALSE)</f>
        <v>0</v>
      </c>
      <c r="BD24" s="14" t="str">
        <f>IF(AND($BA23=$BA24,$BB23=$BB24,$BC24&gt;$BC23),$AZ23,$AZ24)</f>
        <v>DUDA</v>
      </c>
      <c r="BE24" s="14">
        <f>VLOOKUP($BD24,$V22:$AD25,9,FALSE)</f>
        <v>2</v>
      </c>
      <c r="BF24" s="14">
        <f>VLOOKUP($BD24,$V22:$AD25,8,FALSE)</f>
        <v>-1</v>
      </c>
      <c r="BG24" s="14">
        <f>VLOOKUP($BD24,$V22:$AD25,6,FALSE)</f>
        <v>0</v>
      </c>
      <c r="BK24" s="14" t="str">
        <f>BD24</f>
        <v>DUDA</v>
      </c>
      <c r="BL24" s="14">
        <f>VLOOKUP($BK24,$V22:$AD25,2,FALSE)</f>
        <v>3</v>
      </c>
      <c r="BM24" s="14">
        <f>VLOOKUP($BK24,$V22:$AD25,3,FALSE)</f>
        <v>0</v>
      </c>
      <c r="BN24" s="14">
        <f>VLOOKUP($BK24,$V22:$AD25,4,FALSE)</f>
        <v>1</v>
      </c>
      <c r="BO24" s="14">
        <f>VLOOKUP($BK24,$V22:$AD25,5,FALSE)</f>
        <v>2</v>
      </c>
      <c r="BP24" s="14">
        <f>VLOOKUP($BK24,$V22:$AD25,6,FALSE)</f>
        <v>0</v>
      </c>
      <c r="BQ24" s="14">
        <f>VLOOKUP($BK24,$V22:$AD25,7,FALSE)</f>
        <v>1</v>
      </c>
      <c r="BR24" s="14">
        <f>VLOOKUP($BK24,$V22:$AD25,8,FALSE)</f>
        <v>-1</v>
      </c>
      <c r="BS24" s="14">
        <f>VLOOKUP($BK24,$V22:$AD25,9,FALSE)</f>
        <v>2</v>
      </c>
    </row>
    <row r="25" spans="1:71" ht="13.5" customHeight="1" thickBot="1">
      <c r="A25" s="26">
        <v>17</v>
      </c>
      <c r="B25" s="33">
        <v>2</v>
      </c>
      <c r="C25" s="34" t="str">
        <f>'Chaves 2a.Fase'!A5</f>
        <v>RUI</v>
      </c>
      <c r="D25" s="49">
        <v>1</v>
      </c>
      <c r="E25" s="48">
        <v>0</v>
      </c>
      <c r="F25" s="35" t="str">
        <f>'Chaves 2a.Fase'!A3</f>
        <v>SINVAL</v>
      </c>
      <c r="G25" s="36" t="str">
        <f>'Carnet 1a.Fase'!L6</f>
        <v>DIOGO BRAGA</v>
      </c>
      <c r="H25" s="26"/>
      <c r="I25" s="14" t="str">
        <f t="shared" si="1"/>
        <v>RUI</v>
      </c>
      <c r="J25" s="14" t="str">
        <f t="shared" si="2"/>
        <v>SINVAL</v>
      </c>
      <c r="L25" s="19" t="s">
        <v>153</v>
      </c>
      <c r="M25" s="20"/>
      <c r="N25" s="20"/>
      <c r="O25" s="20"/>
      <c r="P25" s="20"/>
      <c r="Q25" s="20"/>
      <c r="R25" s="20"/>
      <c r="S25" s="20"/>
      <c r="T25" s="21"/>
      <c r="V25" s="14" t="str">
        <f>'Chaves 2a.Fase'!C5</f>
        <v>JONI</v>
      </c>
      <c r="W25" s="14">
        <f>COUNT(CUBA_JOGOS)</f>
        <v>3</v>
      </c>
      <c r="X25" s="14">
        <f>COUNTIF(Groupstage_Winner,'Chaves 2a.Fase'!C5)</f>
        <v>1</v>
      </c>
      <c r="Y25" s="14">
        <f>COUNTIF(Groupstage_Loser,'Chaves 2a.Fase'!C5)</f>
        <v>0</v>
      </c>
      <c r="Z25" s="14">
        <f>W25-(X25+Y25)</f>
        <v>2</v>
      </c>
      <c r="AA25" s="14">
        <f>SUM(CUBA_JOGOS)</f>
        <v>5</v>
      </c>
      <c r="AB25" s="14">
        <f>SUM(CUBA_ADV)</f>
        <v>2</v>
      </c>
      <c r="AC25" s="14">
        <f>AA25-AB25</f>
        <v>3</v>
      </c>
      <c r="AD25" s="14">
        <f>X25*Winpoints+Z25*Drawpoints</f>
        <v>5</v>
      </c>
      <c r="AE25" s="14" t="str">
        <f>IF($AD25&lt;=$AD24,$V25,$V24)</f>
        <v>MALLET</v>
      </c>
      <c r="AF25" s="14">
        <f>VLOOKUP($AE25,$V22:$AD25,9,FALSE)</f>
        <v>2</v>
      </c>
      <c r="AG25" s="14" t="str">
        <f>IF(AF25&lt;=AF23,AE25,AE23)</f>
        <v>MALLET</v>
      </c>
      <c r="AH25" s="14">
        <f>VLOOKUP($AG25,$V22:$AD25,9,FALSE)</f>
        <v>2</v>
      </c>
      <c r="AI25" s="14" t="str">
        <f>IF($AH25&lt;=$AH22,$AG25,$AG22)</f>
        <v>MALLET</v>
      </c>
      <c r="AJ25" s="14">
        <f>VLOOKUP($AI25,$V22:$AD25,9,FALSE)</f>
        <v>2</v>
      </c>
      <c r="AK25" s="14">
        <f>VLOOKUP($AI25,$V22:$AD25,8,FALSE)</f>
        <v>-3</v>
      </c>
      <c r="AL25" s="14" t="str">
        <f>IF(AND($AJ24=$AJ25,$AK25&gt;$AK24),$AI24,$AI25)</f>
        <v>MALLET</v>
      </c>
      <c r="AM25" s="14">
        <f>VLOOKUP($AL25,$V22:$AD25,9,FALSE)</f>
        <v>2</v>
      </c>
      <c r="AN25" s="14">
        <f>VLOOKUP($AL25,$V22:$AD25,8,FALSE)</f>
        <v>-3</v>
      </c>
      <c r="AO25" s="14" t="str">
        <f>IF(AND($AM23=$AM25,$AN25&gt;$AN23),$AL23,$AL25)</f>
        <v>MALLET</v>
      </c>
      <c r="AP25" s="14">
        <f>VLOOKUP($AO25,$V22:$AD25,9,FALSE)</f>
        <v>2</v>
      </c>
      <c r="AQ25" s="14">
        <f>VLOOKUP($AO25,$V22:$AD25,8,FALSE)</f>
        <v>-3</v>
      </c>
      <c r="AR25" s="14" t="str">
        <f>IF(AND($AP22=$AP25,$AQ25&gt;$AQ22),$AO22,$AO25)</f>
        <v>MALLET</v>
      </c>
      <c r="AS25" s="14">
        <f>VLOOKUP($AR25,$V22:$AD25,9,FALSE)</f>
        <v>2</v>
      </c>
      <c r="AT25" s="14">
        <f>VLOOKUP($AR25,$V22:$AD25,8,FALSE)</f>
        <v>-3</v>
      </c>
      <c r="AU25" s="14">
        <f>VLOOKUP($AR25,$V22:$AD25,6,FALSE)</f>
        <v>0</v>
      </c>
      <c r="AV25" s="14" t="str">
        <f>IF(AND($AS24=$AS25,$AT24=$AT25,$AU25&gt;$AU24),$AR24,$AR25)</f>
        <v>MALLET</v>
      </c>
      <c r="AW25" s="14">
        <f>VLOOKUP($AV25,$V22:$AD25,9,FALSE)</f>
        <v>2</v>
      </c>
      <c r="AX25" s="14">
        <f>VLOOKUP($AV25,$V22:$AD25,8,FALSE)</f>
        <v>-3</v>
      </c>
      <c r="AY25" s="14">
        <f>VLOOKUP($AV25,$V22:$AD25,6,FALSE)</f>
        <v>0</v>
      </c>
      <c r="AZ25" s="14" t="str">
        <f>IF(AND($AW23=$AW25,$AX23=$AX25,$AY25&gt;$AY23),$AV23,$AV25)</f>
        <v>MALLET</v>
      </c>
      <c r="BA25" s="14">
        <f>VLOOKUP($AZ25,$V22:$AD25,9,FALSE)</f>
        <v>2</v>
      </c>
      <c r="BB25" s="14">
        <f>VLOOKUP($AZ25,$V22:$AD25,8,FALSE)</f>
        <v>-3</v>
      </c>
      <c r="BC25" s="14">
        <f>VLOOKUP($AZ25,$V22:$AD25,6,FALSE)</f>
        <v>0</v>
      </c>
      <c r="BD25" s="14" t="str">
        <f>IF(AND($BA22=$BA25,$BB22=$BB25,$BC25&gt;$BC22),$AZ22,$AZ25)</f>
        <v>MALLET</v>
      </c>
      <c r="BE25" s="14">
        <f>VLOOKUP($BD25,$V22:$AD25,9,FALSE)</f>
        <v>2</v>
      </c>
      <c r="BF25" s="14">
        <f>VLOOKUP($BD25,$V22:$AD25,8,FALSE)</f>
        <v>-3</v>
      </c>
      <c r="BG25" s="14">
        <f>VLOOKUP($BD25,$V22:$AD25,6,FALSE)</f>
        <v>0</v>
      </c>
      <c r="BK25" s="14" t="str">
        <f>BD25</f>
        <v>MALLET</v>
      </c>
      <c r="BL25" s="14">
        <f>VLOOKUP($BK25,$V22:$AD25,2,FALSE)</f>
        <v>3</v>
      </c>
      <c r="BM25" s="14">
        <f>VLOOKUP($BK25,$V22:$AD25,3,FALSE)</f>
        <v>0</v>
      </c>
      <c r="BN25" s="14">
        <f>VLOOKUP($BK25,$V22:$AD25,4,FALSE)</f>
        <v>1</v>
      </c>
      <c r="BO25" s="14">
        <f>VLOOKUP($BK25,$V22:$AD25,5,FALSE)</f>
        <v>2</v>
      </c>
      <c r="BP25" s="14">
        <f>VLOOKUP($BK25,$V22:$AD25,6,FALSE)</f>
        <v>0</v>
      </c>
      <c r="BQ25" s="14">
        <f>VLOOKUP($BK25,$V22:$AD25,7,FALSE)</f>
        <v>3</v>
      </c>
      <c r="BR25" s="14">
        <f>VLOOKUP($BK25,$V22:$AD25,8,FALSE)</f>
        <v>-3</v>
      </c>
      <c r="BS25" s="14">
        <f>VLOOKUP($BK25,$V22:$AD25,9,FALSE)</f>
        <v>2</v>
      </c>
    </row>
    <row r="26" spans="1:20" ht="13.5" customHeight="1" thickBot="1">
      <c r="A26" s="40">
        <v>18</v>
      </c>
      <c r="B26" s="41">
        <v>3</v>
      </c>
      <c r="C26" s="34" t="str">
        <f>'Chaves 2a.Fase'!B4</f>
        <v>ALEX</v>
      </c>
      <c r="D26" s="50">
        <v>2</v>
      </c>
      <c r="E26" s="51">
        <v>0</v>
      </c>
      <c r="F26" s="35" t="str">
        <f>'Chaves 2a.Fase'!B2</f>
        <v>PUFAL</v>
      </c>
      <c r="G26" s="43" t="str">
        <f>'Carnet 1a.Fase'!L13</f>
        <v>CHRISTIAN</v>
      </c>
      <c r="H26" s="40"/>
      <c r="I26" s="14" t="str">
        <f t="shared" si="1"/>
        <v>ALEX</v>
      </c>
      <c r="J26" s="14" t="str">
        <f t="shared" si="2"/>
        <v>PUFAL</v>
      </c>
      <c r="L26" s="22"/>
      <c r="M26" s="23" t="s">
        <v>83</v>
      </c>
      <c r="N26" s="23" t="s">
        <v>84</v>
      </c>
      <c r="O26" s="23" t="s">
        <v>85</v>
      </c>
      <c r="P26" s="23" t="s">
        <v>86</v>
      </c>
      <c r="Q26" s="23" t="s">
        <v>87</v>
      </c>
      <c r="R26" s="23" t="s">
        <v>88</v>
      </c>
      <c r="S26" s="23" t="s">
        <v>89</v>
      </c>
      <c r="T26" s="24" t="s">
        <v>90</v>
      </c>
    </row>
    <row r="27" spans="1:22" ht="13.5" customHeight="1" thickBot="1">
      <c r="A27" s="26">
        <v>18</v>
      </c>
      <c r="B27" s="33">
        <v>4</v>
      </c>
      <c r="C27" s="34" t="str">
        <f>'Chaves 2a.Fase'!B5</f>
        <v>JULINHO</v>
      </c>
      <c r="D27" s="49">
        <v>0</v>
      </c>
      <c r="E27" s="48">
        <v>1</v>
      </c>
      <c r="F27" s="35" t="str">
        <f>'Chaves 2a.Fase'!B3</f>
        <v>ZILBER</v>
      </c>
      <c r="G27" s="36" t="str">
        <f>'Carnet 1a.Fase'!L69</f>
        <v>RENAN</v>
      </c>
      <c r="H27" s="26"/>
      <c r="I27" s="14" t="str">
        <f t="shared" si="1"/>
        <v>ZILBER</v>
      </c>
      <c r="J27" s="14" t="str">
        <f t="shared" si="2"/>
        <v>JULINHO</v>
      </c>
      <c r="L27" s="25" t="str">
        <f aca="true" t="shared" si="5" ref="L27:T30">BK29</f>
        <v>VINICIUS</v>
      </c>
      <c r="M27" s="26">
        <f t="shared" si="5"/>
        <v>3</v>
      </c>
      <c r="N27" s="26">
        <f t="shared" si="5"/>
        <v>3</v>
      </c>
      <c r="O27" s="26">
        <f t="shared" si="5"/>
        <v>0</v>
      </c>
      <c r="P27" s="26">
        <f t="shared" si="5"/>
        <v>0</v>
      </c>
      <c r="Q27" s="26">
        <f t="shared" si="5"/>
        <v>9</v>
      </c>
      <c r="R27" s="26">
        <f t="shared" si="5"/>
        <v>1</v>
      </c>
      <c r="S27" s="26">
        <f t="shared" si="5"/>
        <v>8</v>
      </c>
      <c r="T27" s="27">
        <f t="shared" si="5"/>
        <v>9</v>
      </c>
      <c r="V27" s="14" t="s">
        <v>154</v>
      </c>
    </row>
    <row r="28" spans="1:30" ht="13.5" customHeight="1" thickBot="1">
      <c r="A28" s="26">
        <v>19</v>
      </c>
      <c r="B28" s="33">
        <v>5</v>
      </c>
      <c r="C28" s="34" t="str">
        <f>'Chaves 2a.Fase'!C4</f>
        <v>MALLET</v>
      </c>
      <c r="D28" s="50">
        <v>0</v>
      </c>
      <c r="E28" s="51">
        <v>0</v>
      </c>
      <c r="F28" s="35" t="str">
        <f>'Chaves 2a.Fase'!C2</f>
        <v>BRANDÃO</v>
      </c>
      <c r="G28" s="36" t="str">
        <f>'Carnet 1a.Fase'!L20</f>
        <v>ANTONIO</v>
      </c>
      <c r="H28" s="26"/>
      <c r="I28" s="14" t="str">
        <f t="shared" si="1"/>
        <v>Draw</v>
      </c>
      <c r="J28" s="14" t="str">
        <f t="shared" si="2"/>
        <v>Draw</v>
      </c>
      <c r="L28" s="25" t="str">
        <f t="shared" si="5"/>
        <v>ELISANDRO</v>
      </c>
      <c r="M28" s="26">
        <f t="shared" si="5"/>
        <v>3</v>
      </c>
      <c r="N28" s="26">
        <f t="shared" si="5"/>
        <v>2</v>
      </c>
      <c r="O28" s="26">
        <f t="shared" si="5"/>
        <v>1</v>
      </c>
      <c r="P28" s="26">
        <f t="shared" si="5"/>
        <v>0</v>
      </c>
      <c r="Q28" s="26">
        <f t="shared" si="5"/>
        <v>6</v>
      </c>
      <c r="R28" s="26">
        <f t="shared" si="5"/>
        <v>4</v>
      </c>
      <c r="S28" s="26">
        <f t="shared" si="5"/>
        <v>2</v>
      </c>
      <c r="T28" s="27">
        <f t="shared" si="5"/>
        <v>6</v>
      </c>
      <c r="W28" s="14" t="s">
        <v>107</v>
      </c>
      <c r="X28" s="14" t="s">
        <v>108</v>
      </c>
      <c r="Y28" s="14" t="s">
        <v>109</v>
      </c>
      <c r="Z28" s="14" t="s">
        <v>85</v>
      </c>
      <c r="AA28" s="14" t="s">
        <v>110</v>
      </c>
      <c r="AB28" s="14" t="s">
        <v>111</v>
      </c>
      <c r="AC28" s="14" t="s">
        <v>112</v>
      </c>
      <c r="AD28" s="14" t="s">
        <v>113</v>
      </c>
    </row>
    <row r="29" spans="1:71" ht="13.5" customHeight="1" thickBot="1">
      <c r="A29" s="26">
        <v>19</v>
      </c>
      <c r="B29" s="33">
        <v>6</v>
      </c>
      <c r="C29" s="42" t="str">
        <f>'Chaves 2a.Fase'!C5</f>
        <v>JONI</v>
      </c>
      <c r="D29" s="49">
        <v>0</v>
      </c>
      <c r="E29" s="48">
        <v>0</v>
      </c>
      <c r="F29" s="43" t="str">
        <f>'Chaves 2a.Fase'!C3</f>
        <v>DUDA</v>
      </c>
      <c r="G29" s="36" t="str">
        <f>'Carnet 1a.Fase'!L76</f>
        <v>EVERTON</v>
      </c>
      <c r="H29" s="26"/>
      <c r="I29" s="14" t="str">
        <f t="shared" si="1"/>
        <v>Draw</v>
      </c>
      <c r="J29" s="14" t="str">
        <f t="shared" si="2"/>
        <v>Draw</v>
      </c>
      <c r="L29" s="25" t="str">
        <f t="shared" si="5"/>
        <v>VINHAS</v>
      </c>
      <c r="M29" s="26">
        <f t="shared" si="5"/>
        <v>3</v>
      </c>
      <c r="N29" s="26">
        <f t="shared" si="5"/>
        <v>1</v>
      </c>
      <c r="O29" s="26">
        <f t="shared" si="5"/>
        <v>2</v>
      </c>
      <c r="P29" s="26">
        <f t="shared" si="5"/>
        <v>0</v>
      </c>
      <c r="Q29" s="26">
        <f t="shared" si="5"/>
        <v>2</v>
      </c>
      <c r="R29" s="26">
        <f t="shared" si="5"/>
        <v>4</v>
      </c>
      <c r="S29" s="26">
        <f t="shared" si="5"/>
        <v>-2</v>
      </c>
      <c r="T29" s="27">
        <f t="shared" si="5"/>
        <v>3</v>
      </c>
      <c r="V29" s="14" t="str">
        <f>'Chaves 2a.Fase'!D2</f>
        <v>BRENO</v>
      </c>
      <c r="W29" s="14">
        <f>COUNT(HONDURAS_JOGOS)</f>
        <v>3</v>
      </c>
      <c r="X29" s="14">
        <f>COUNTIF(Groupstage_Winner,'Chaves 2a.Fase'!D2)</f>
        <v>0</v>
      </c>
      <c r="Y29" s="14">
        <f>COUNTIF(Groupstage_Loser,'Chaves 2a.Fase'!D2)</f>
        <v>3</v>
      </c>
      <c r="Z29" s="14">
        <f>W29-(X29+Y29)</f>
        <v>0</v>
      </c>
      <c r="AA29" s="14">
        <f>SUM(HONDURAS_JOGOS)</f>
        <v>1</v>
      </c>
      <c r="AB29" s="14">
        <f>SUM(HONDURAS_ADV)</f>
        <v>9</v>
      </c>
      <c r="AC29" s="14">
        <f>AA29-AB29</f>
        <v>-8</v>
      </c>
      <c r="AD29" s="14">
        <f>X29*Winpoints+Z29*Drawpoints</f>
        <v>0</v>
      </c>
      <c r="AE29" s="14" t="str">
        <f>IF($AD29&gt;=$AD30,$V29,$V30)</f>
        <v>VINICIUS</v>
      </c>
      <c r="AF29" s="14">
        <f>VLOOKUP($AE29,$V29:$AD32,9,FALSE)</f>
        <v>9</v>
      </c>
      <c r="AG29" s="14" t="str">
        <f>IF($AF29&gt;=$AF31,$AE29,$AE31)</f>
        <v>VINICIUS</v>
      </c>
      <c r="AH29" s="14">
        <f>VLOOKUP($AG29,$V29:$AD32,9,FALSE)</f>
        <v>9</v>
      </c>
      <c r="AI29" s="14" t="str">
        <f>IF($AH29&gt;=$AH32,$AG29,$AG32)</f>
        <v>VINICIUS</v>
      </c>
      <c r="AJ29" s="14">
        <f>VLOOKUP($AI29,$V29:$AD32,9,FALSE)</f>
        <v>9</v>
      </c>
      <c r="AK29" s="14">
        <f>VLOOKUP($AI29,$V29:$AD32,8,FALSE)</f>
        <v>8</v>
      </c>
      <c r="AL29" s="14" t="str">
        <f>IF(AND($AJ29=$AJ30,$AK30&gt;$AK29),$AI30,$AI29)</f>
        <v>VINICIUS</v>
      </c>
      <c r="AM29" s="14">
        <f>VLOOKUP($AL29,$V29:$AD32,9,FALSE)</f>
        <v>9</v>
      </c>
      <c r="AN29" s="14">
        <f>VLOOKUP($AL29,$V29:$AD32,8,FALSE)</f>
        <v>8</v>
      </c>
      <c r="AO29" s="14" t="str">
        <f>IF(AND($AM29=$AM31,$AN31&gt;$AN29),$AL31,$AL29)</f>
        <v>VINICIUS</v>
      </c>
      <c r="AP29" s="14">
        <f>VLOOKUP($AO29,$V29:$AD32,9,FALSE)</f>
        <v>9</v>
      </c>
      <c r="AQ29" s="14">
        <f>VLOOKUP($AO29,$V29:$AD32,8,FALSE)</f>
        <v>8</v>
      </c>
      <c r="AR29" s="14" t="str">
        <f>IF(AND($AP29=$AP32,$AQ32&gt;$AQ29),$AO32,$AO29)</f>
        <v>VINICIUS</v>
      </c>
      <c r="AS29" s="14">
        <f>VLOOKUP($AR29,$V29:$AD32,9,FALSE)</f>
        <v>9</v>
      </c>
      <c r="AT29" s="14">
        <f>VLOOKUP($AR29,$V29:$AD32,8,FALSE)</f>
        <v>8</v>
      </c>
      <c r="AU29" s="14">
        <f>VLOOKUP($AR29,$V29:$AD32,6,FALSE)</f>
        <v>9</v>
      </c>
      <c r="AV29" s="14" t="str">
        <f>IF(AND($AS29=$AS30,$AT29=$AT30,$AU30&gt;$AU29),$AR30,$AR29)</f>
        <v>VINICIUS</v>
      </c>
      <c r="AW29" s="14">
        <f>VLOOKUP($AV29,$V29:$AD32,9,FALSE)</f>
        <v>9</v>
      </c>
      <c r="AX29" s="14">
        <f>VLOOKUP($AV29,$V29:$AD32,8,FALSE)</f>
        <v>8</v>
      </c>
      <c r="AY29" s="14">
        <f>VLOOKUP($AV29,$V29:$AD32,6,FALSE)</f>
        <v>9</v>
      </c>
      <c r="AZ29" s="14" t="str">
        <f>IF(AND($AW29=$AW31,$AX29=$AX31,$AY31&gt;$AY29),$AV31,$AV29)</f>
        <v>VINICIUS</v>
      </c>
      <c r="BA29" s="14">
        <f>VLOOKUP($AZ29,$V29:$AD32,9,FALSE)</f>
        <v>9</v>
      </c>
      <c r="BB29" s="14">
        <f>VLOOKUP($AZ29,$V29:$AD32,8,FALSE)</f>
        <v>8</v>
      </c>
      <c r="BC29" s="14">
        <f>VLOOKUP($AZ29,$V29:$AD32,6,FALSE)</f>
        <v>9</v>
      </c>
      <c r="BD29" s="14" t="str">
        <f>IF(AND($BA29=$BA32,$BB29=$BB32,$BC32&gt;$BC29),$AZ32,$AZ29)</f>
        <v>VINICIUS</v>
      </c>
      <c r="BE29" s="14">
        <f>VLOOKUP($BD29,$V29:$AD32,9,FALSE)</f>
        <v>9</v>
      </c>
      <c r="BF29" s="14">
        <f>VLOOKUP($BD29,$V29:$AD32,8,FALSE)</f>
        <v>8</v>
      </c>
      <c r="BG29" s="14">
        <f>VLOOKUP($BD29,$V29:$AD32,6,FALSE)</f>
        <v>9</v>
      </c>
      <c r="BK29" s="14" t="str">
        <f>BD29</f>
        <v>VINICIUS</v>
      </c>
      <c r="BL29" s="14">
        <f>VLOOKUP($BK29,$V29:$AD32,2,FALSE)</f>
        <v>3</v>
      </c>
      <c r="BM29" s="14">
        <f>VLOOKUP($BK29,$V29:$AD32,3,FALSE)</f>
        <v>3</v>
      </c>
      <c r="BN29" s="14">
        <f>VLOOKUP($BK29,$V29:$AD32,4,FALSE)</f>
        <v>0</v>
      </c>
      <c r="BO29" s="14">
        <f>VLOOKUP($BK29,$V29:$AD32,5,FALSE)</f>
        <v>0</v>
      </c>
      <c r="BP29" s="14">
        <f>VLOOKUP($BK29,$V29:$AD32,6,FALSE)</f>
        <v>9</v>
      </c>
      <c r="BQ29" s="14">
        <f>VLOOKUP($BK29,$V29:$AD32,7,FALSE)</f>
        <v>1</v>
      </c>
      <c r="BR29" s="14">
        <f>VLOOKUP($BK29,$V29:$AD32,8,FALSE)</f>
        <v>8</v>
      </c>
      <c r="BS29" s="14">
        <f>VLOOKUP($BK29,$V29:$AD32,9,FALSE)</f>
        <v>9</v>
      </c>
    </row>
    <row r="30" spans="1:71" ht="13.5" customHeight="1" thickBot="1">
      <c r="A30" s="26">
        <v>20</v>
      </c>
      <c r="B30" s="33">
        <v>7</v>
      </c>
      <c r="C30" s="34" t="str">
        <f>'Chaves 2a.Fase'!D4</f>
        <v>VINHAS</v>
      </c>
      <c r="D30" s="50">
        <v>1</v>
      </c>
      <c r="E30" s="51">
        <v>0</v>
      </c>
      <c r="F30" s="35" t="str">
        <f>'Chaves 2a.Fase'!D2</f>
        <v>BRENO</v>
      </c>
      <c r="G30" s="36" t="str">
        <f>'Carnet 1a.Fase'!L83</f>
        <v>CRISTIANO</v>
      </c>
      <c r="H30" s="26"/>
      <c r="I30" s="14" t="str">
        <f t="shared" si="1"/>
        <v>VINHAS</v>
      </c>
      <c r="J30" s="14" t="str">
        <f t="shared" si="2"/>
        <v>BRENO</v>
      </c>
      <c r="L30" s="37" t="str">
        <f t="shared" si="5"/>
        <v>BRENO</v>
      </c>
      <c r="M30" s="38">
        <f t="shared" si="5"/>
        <v>3</v>
      </c>
      <c r="N30" s="38">
        <f t="shared" si="5"/>
        <v>0</v>
      </c>
      <c r="O30" s="38">
        <f t="shared" si="5"/>
        <v>3</v>
      </c>
      <c r="P30" s="38">
        <f t="shared" si="5"/>
        <v>0</v>
      </c>
      <c r="Q30" s="38">
        <f t="shared" si="5"/>
        <v>1</v>
      </c>
      <c r="R30" s="38">
        <f t="shared" si="5"/>
        <v>9</v>
      </c>
      <c r="S30" s="38">
        <f t="shared" si="5"/>
        <v>-8</v>
      </c>
      <c r="T30" s="39">
        <f t="shared" si="5"/>
        <v>0</v>
      </c>
      <c r="V30" s="14" t="str">
        <f>'Chaves 2a.Fase'!D3</f>
        <v>VINICIUS</v>
      </c>
      <c r="W30" s="14">
        <f>COUNT(HAITI_JOGOS)</f>
        <v>3</v>
      </c>
      <c r="X30" s="14">
        <f>COUNTIF(Groupstage_Winner,'Chaves 2a.Fase'!D3)</f>
        <v>3</v>
      </c>
      <c r="Y30" s="14">
        <f>COUNTIF(Groupstage_Loser,'Chaves 2a.Fase'!D3)</f>
        <v>0</v>
      </c>
      <c r="Z30" s="14">
        <f>W30-(X30+Y30)</f>
        <v>0</v>
      </c>
      <c r="AA30" s="14">
        <f>SUM(HAITI_JOGOS)</f>
        <v>9</v>
      </c>
      <c r="AB30" s="14">
        <f>SUM(HAITI_ADV)</f>
        <v>1</v>
      </c>
      <c r="AC30" s="14">
        <f>AA30-AB30</f>
        <v>8</v>
      </c>
      <c r="AD30" s="14">
        <f>X30*Winpoints+Z30*Drawpoints</f>
        <v>9</v>
      </c>
      <c r="AE30" s="14" t="str">
        <f>IF($AD30&lt;=$AD29,$V30,$V29)</f>
        <v>BRENO</v>
      </c>
      <c r="AF30" s="14">
        <f>VLOOKUP($AE30,$V29:$AD32,9,FALSE)</f>
        <v>0</v>
      </c>
      <c r="AG30" s="14" t="str">
        <f>IF(AF30&gt;=AF32,AE30,AE32)</f>
        <v>VINHAS</v>
      </c>
      <c r="AH30" s="14">
        <f>VLOOKUP($AG30,$V29:$AD32,9,FALSE)</f>
        <v>3</v>
      </c>
      <c r="AI30" s="14" t="str">
        <f>IF($AH30&gt;=$AH31,$AG30,$AG31)</f>
        <v>ELISANDRO</v>
      </c>
      <c r="AJ30" s="14">
        <f>VLOOKUP($AI30,$V29:$AD32,9,FALSE)</f>
        <v>6</v>
      </c>
      <c r="AK30" s="14">
        <f>VLOOKUP($AI30,$V29:$AD32,8,FALSE)</f>
        <v>2</v>
      </c>
      <c r="AL30" s="14" t="str">
        <f>IF(AND($AJ29=$AJ30,$AK30&gt;$AK29),$AI29,$AI30)</f>
        <v>ELISANDRO</v>
      </c>
      <c r="AM30" s="14">
        <f>VLOOKUP($AL30,$V29:$AD32,9,FALSE)</f>
        <v>6</v>
      </c>
      <c r="AN30" s="14">
        <f>VLOOKUP($AL30,$V29:$AD32,8,FALSE)</f>
        <v>2</v>
      </c>
      <c r="AO30" s="14" t="str">
        <f>IF(AND($AM30=$AM32,$AN32&gt;$AN30),$AL32,$AL30)</f>
        <v>ELISANDRO</v>
      </c>
      <c r="AP30" s="14">
        <f>VLOOKUP($AO30,$V29:$AD32,9,FALSE)</f>
        <v>6</v>
      </c>
      <c r="AQ30" s="14">
        <f>VLOOKUP($AO30,$V29:$AD32,8,FALSE)</f>
        <v>2</v>
      </c>
      <c r="AR30" s="14" t="str">
        <f>IF(AND($AP30=$AP31,$AQ31&gt;$AQ30),$AO31,$AO30)</f>
        <v>ELISANDRO</v>
      </c>
      <c r="AS30" s="14">
        <f>VLOOKUP($AR30,$V29:$AD32,9,FALSE)</f>
        <v>6</v>
      </c>
      <c r="AT30" s="14">
        <f>VLOOKUP($AR30,$V29:$AD32,8,FALSE)</f>
        <v>2</v>
      </c>
      <c r="AU30" s="14">
        <f>VLOOKUP($AR30,$V29:$AD32,6,FALSE)</f>
        <v>6</v>
      </c>
      <c r="AV30" s="14" t="str">
        <f>IF(AND($AS29=$AS30,$AT29=$AT30,$AU30&gt;$AU29),$AR29,$AR30)</f>
        <v>ELISANDRO</v>
      </c>
      <c r="AW30" s="14">
        <f>VLOOKUP($AV30,$V29:$AD32,9,FALSE)</f>
        <v>6</v>
      </c>
      <c r="AX30" s="14">
        <f>VLOOKUP($AV30,$V29:$AD32,8,FALSE)</f>
        <v>2</v>
      </c>
      <c r="AY30" s="14">
        <f>VLOOKUP($AV30,$V29:$AD32,6,FALSE)</f>
        <v>6</v>
      </c>
      <c r="AZ30" s="14" t="str">
        <f>IF(AND($AW30=$AW32,$AX30=$AX32,$AY32&gt;$AY30),$AV32,$AV30)</f>
        <v>ELISANDRO</v>
      </c>
      <c r="BA30" s="14">
        <f>VLOOKUP($AZ30,$V29:$AD32,9,FALSE)</f>
        <v>6</v>
      </c>
      <c r="BB30" s="14">
        <f>VLOOKUP($AZ30,$V29:$AD32,8,FALSE)</f>
        <v>2</v>
      </c>
      <c r="BC30" s="14">
        <f>VLOOKUP($AZ30,$V29:$AD32,6,FALSE)</f>
        <v>6</v>
      </c>
      <c r="BD30" s="14" t="str">
        <f>IF(AND($BA30=$BA31,$BB30=$BB31,$BC31&gt;$BC30),$AZ31,$AZ30)</f>
        <v>ELISANDRO</v>
      </c>
      <c r="BE30" s="14">
        <f>VLOOKUP($BD30,$V29:$AD32,9,FALSE)</f>
        <v>6</v>
      </c>
      <c r="BF30" s="14">
        <f>VLOOKUP($BD30,$V29:$AD32,8,FALSE)</f>
        <v>2</v>
      </c>
      <c r="BG30" s="14">
        <f>VLOOKUP($BD30,$V29:$AD32,6,FALSE)</f>
        <v>6</v>
      </c>
      <c r="BK30" s="14" t="str">
        <f>BD30</f>
        <v>ELISANDRO</v>
      </c>
      <c r="BL30" s="14">
        <f>VLOOKUP($BK30,$V29:$AD32,2,FALSE)</f>
        <v>3</v>
      </c>
      <c r="BM30" s="14">
        <f>VLOOKUP($BK30,$V29:$AD32,3,FALSE)</f>
        <v>2</v>
      </c>
      <c r="BN30" s="14">
        <f>VLOOKUP($BK30,$V29:$AD32,4,FALSE)</f>
        <v>1</v>
      </c>
      <c r="BO30" s="14">
        <f>VLOOKUP($BK30,$V29:$AD32,5,FALSE)</f>
        <v>0</v>
      </c>
      <c r="BP30" s="14">
        <f>VLOOKUP($BK30,$V29:$AD32,6,FALSE)</f>
        <v>6</v>
      </c>
      <c r="BQ30" s="14">
        <f>VLOOKUP($BK30,$V29:$AD32,7,FALSE)</f>
        <v>4</v>
      </c>
      <c r="BR30" s="14">
        <f>VLOOKUP($BK30,$V29:$AD32,8,FALSE)</f>
        <v>2</v>
      </c>
      <c r="BS30" s="14">
        <f>VLOOKUP($BK30,$V29:$AD32,9,FALSE)</f>
        <v>6</v>
      </c>
    </row>
    <row r="31" spans="1:71" ht="13.5" customHeight="1" thickBot="1">
      <c r="A31" s="26">
        <v>20</v>
      </c>
      <c r="B31" s="33">
        <v>8</v>
      </c>
      <c r="C31" s="34" t="str">
        <f>'Chaves 2a.Fase'!D5</f>
        <v>ELISANDRO</v>
      </c>
      <c r="D31" s="49">
        <v>0</v>
      </c>
      <c r="E31" s="48">
        <v>3</v>
      </c>
      <c r="F31" s="35" t="str">
        <f>'Chaves 2a.Fase'!D3</f>
        <v>VINICIUS</v>
      </c>
      <c r="G31" s="36" t="str">
        <f>'Carnet 1a.Fase'!L27</f>
        <v>JULIO</v>
      </c>
      <c r="H31" s="26"/>
      <c r="I31" s="14" t="str">
        <f t="shared" si="1"/>
        <v>VINICIUS</v>
      </c>
      <c r="J31" s="14" t="str">
        <f t="shared" si="2"/>
        <v>ELISANDRO</v>
      </c>
      <c r="V31" s="14" t="str">
        <f>'Chaves 2a.Fase'!D4</f>
        <v>VINHAS</v>
      </c>
      <c r="W31" s="14">
        <f>COUNT(SALVADOR_JOGOS)</f>
        <v>3</v>
      </c>
      <c r="X31" s="14">
        <f>COUNTIF(Groupstage_Winner,'Chaves 2a.Fase'!D4)</f>
        <v>1</v>
      </c>
      <c r="Y31" s="14">
        <f>COUNTIF(Groupstage_Loser,'Chaves 2a.Fase'!D4)</f>
        <v>2</v>
      </c>
      <c r="Z31" s="14">
        <f>W31-(X31+Y31)</f>
        <v>0</v>
      </c>
      <c r="AA31" s="14">
        <f>SUM(SALVADOR_JOGOS)</f>
        <v>2</v>
      </c>
      <c r="AB31" s="14">
        <f>SUM(SALVADOR_ADV)</f>
        <v>4</v>
      </c>
      <c r="AC31" s="14">
        <f>AA31-AB31</f>
        <v>-2</v>
      </c>
      <c r="AD31" s="14">
        <f>X31*Winpoints+Z31*Drawpoints</f>
        <v>3</v>
      </c>
      <c r="AE31" s="14" t="str">
        <f>IF($AD31&gt;=$AD32,$V31,$V32)</f>
        <v>ELISANDRO</v>
      </c>
      <c r="AF31" s="14">
        <f>VLOOKUP($AE31,$V29:$AD32,9,FALSE)</f>
        <v>6</v>
      </c>
      <c r="AG31" s="14" t="str">
        <f>IF($AF31&lt;=$AF29,$AE31,$AE29)</f>
        <v>ELISANDRO</v>
      </c>
      <c r="AH31" s="14">
        <f>VLOOKUP($AG31,$V29:$AD32,9,FALSE)</f>
        <v>6</v>
      </c>
      <c r="AI31" s="14" t="str">
        <f>IF($AH31&lt;=$AH30,$AG31,$AG30)</f>
        <v>VINHAS</v>
      </c>
      <c r="AJ31" s="14">
        <f>VLOOKUP($AI31,$V29:$AD32,9,FALSE)</f>
        <v>3</v>
      </c>
      <c r="AK31" s="14">
        <f>VLOOKUP($AI31,$V29:$AD32,8,FALSE)</f>
        <v>-2</v>
      </c>
      <c r="AL31" s="14" t="str">
        <f>IF(AND($AJ31=$AJ32,$AK32&gt;$AK31),$AI32,$AI31)</f>
        <v>VINHAS</v>
      </c>
      <c r="AM31" s="14">
        <f>VLOOKUP($AL31,$V29:$AD32,9,FALSE)</f>
        <v>3</v>
      </c>
      <c r="AN31" s="14">
        <f>VLOOKUP($AL31,$V29:$AD32,8,FALSE)</f>
        <v>-2</v>
      </c>
      <c r="AO31" s="14" t="str">
        <f>IF(AND($AM29=$AM31,$AN31&gt;$AN29),$AL29,$AL31)</f>
        <v>VINHAS</v>
      </c>
      <c r="AP31" s="14">
        <f>VLOOKUP($AO31,$V29:$AD32,9,FALSE)</f>
        <v>3</v>
      </c>
      <c r="AQ31" s="14">
        <f>VLOOKUP($AO31,$V29:$AD32,8,FALSE)</f>
        <v>-2</v>
      </c>
      <c r="AR31" s="14" t="str">
        <f>IF(AND($AP30=$AP31,$AQ31&gt;$AQ30),$AO30,$AO31)</f>
        <v>VINHAS</v>
      </c>
      <c r="AS31" s="14">
        <f>VLOOKUP($AR31,$V29:$AD32,9,FALSE)</f>
        <v>3</v>
      </c>
      <c r="AT31" s="14">
        <f>VLOOKUP($AR31,$V29:$AD32,8,FALSE)</f>
        <v>-2</v>
      </c>
      <c r="AU31" s="14">
        <f>VLOOKUP($AR31,$V29:$AD32,6,FALSE)</f>
        <v>2</v>
      </c>
      <c r="AV31" s="14" t="str">
        <f>IF(AND($AS31=$AS32,$AT31=$AT32,$AU32&gt;$AU31),$AR32,$AR31)</f>
        <v>VINHAS</v>
      </c>
      <c r="AW31" s="14">
        <f>VLOOKUP($AV31,$V29:$AD32,9,FALSE)</f>
        <v>3</v>
      </c>
      <c r="AX31" s="14">
        <f>VLOOKUP($AV31,$V29:$AD32,8,FALSE)</f>
        <v>-2</v>
      </c>
      <c r="AY31" s="14">
        <f>VLOOKUP($AV31,$V29:$AD32,6,FALSE)</f>
        <v>2</v>
      </c>
      <c r="AZ31" s="14" t="str">
        <f>IF(AND($AW29=$AW31,$AX29=$AX31,$AY31&gt;$AY29),$AV29,$AV31)</f>
        <v>VINHAS</v>
      </c>
      <c r="BA31" s="14">
        <f>VLOOKUP($AZ31,$V29:$AD32,9,FALSE)</f>
        <v>3</v>
      </c>
      <c r="BB31" s="14">
        <f>VLOOKUP($AZ31,$V29:$AD32,8,FALSE)</f>
        <v>-2</v>
      </c>
      <c r="BC31" s="14">
        <f>VLOOKUP($AZ31,$V29:$AD32,6,FALSE)</f>
        <v>2</v>
      </c>
      <c r="BD31" s="14" t="str">
        <f>IF(AND($BA30=$BA31,$BB30=$BB31,$BC31&gt;$BC30),$AZ30,$AZ31)</f>
        <v>VINHAS</v>
      </c>
      <c r="BE31" s="14">
        <f>VLOOKUP($BD31,$V29:$AD32,9,FALSE)</f>
        <v>3</v>
      </c>
      <c r="BF31" s="14">
        <f>VLOOKUP($BD31,$V29:$AD32,8,FALSE)</f>
        <v>-2</v>
      </c>
      <c r="BG31" s="14">
        <f>VLOOKUP($BD31,$V29:$AD32,6,FALSE)</f>
        <v>2</v>
      </c>
      <c r="BK31" s="14" t="str">
        <f>BD31</f>
        <v>VINHAS</v>
      </c>
      <c r="BL31" s="14">
        <f>VLOOKUP($BK31,$V29:$AD32,2,FALSE)</f>
        <v>3</v>
      </c>
      <c r="BM31" s="14">
        <f>VLOOKUP($BK31,$V29:$AD32,3,FALSE)</f>
        <v>1</v>
      </c>
      <c r="BN31" s="14">
        <f>VLOOKUP($BK31,$V29:$AD32,4,FALSE)</f>
        <v>2</v>
      </c>
      <c r="BO31" s="14">
        <f>VLOOKUP($BK31,$V29:$AD32,5,FALSE)</f>
        <v>0</v>
      </c>
      <c r="BP31" s="14">
        <f>VLOOKUP($BK31,$V29:$AD32,6,FALSE)</f>
        <v>2</v>
      </c>
      <c r="BQ31" s="14">
        <f>VLOOKUP($BK31,$V29:$AD32,7,FALSE)</f>
        <v>4</v>
      </c>
      <c r="BR31" s="14">
        <f>VLOOKUP($BK31,$V29:$AD32,8,FALSE)</f>
        <v>-2</v>
      </c>
      <c r="BS31" s="14">
        <f>VLOOKUP($BK31,$V29:$AD32,9,FALSE)</f>
        <v>3</v>
      </c>
    </row>
    <row r="32" spans="1:71" ht="13.5" customHeight="1" thickBot="1">
      <c r="A32" s="26">
        <v>21</v>
      </c>
      <c r="B32" s="33">
        <v>9</v>
      </c>
      <c r="C32" s="34" t="str">
        <f>'Chaves 2a.Fase'!A10</f>
        <v>JOSÉ</v>
      </c>
      <c r="D32" s="50">
        <v>5</v>
      </c>
      <c r="E32" s="51">
        <v>2</v>
      </c>
      <c r="F32" s="35" t="str">
        <f>'Chaves 2a.Fase'!A8</f>
        <v>RODRIGO B.</v>
      </c>
      <c r="G32" s="36" t="str">
        <f>'Carnet 1a.Fase'!L90</f>
        <v>JORGITO</v>
      </c>
      <c r="H32" s="26"/>
      <c r="I32" s="14" t="str">
        <f t="shared" si="1"/>
        <v>JOSÉ</v>
      </c>
      <c r="J32" s="14" t="str">
        <f t="shared" si="2"/>
        <v>RODRIGO B.</v>
      </c>
      <c r="L32" s="19" t="s">
        <v>155</v>
      </c>
      <c r="M32" s="20"/>
      <c r="N32" s="20"/>
      <c r="O32" s="20"/>
      <c r="P32" s="20"/>
      <c r="Q32" s="20"/>
      <c r="R32" s="20"/>
      <c r="S32" s="20"/>
      <c r="T32" s="21"/>
      <c r="V32" s="14" t="str">
        <f>'Chaves 2a.Fase'!D5</f>
        <v>ELISANDRO</v>
      </c>
      <c r="W32" s="14">
        <f>COUNT(BOLIVIA_JOGOS)</f>
        <v>3</v>
      </c>
      <c r="X32" s="14">
        <f>COUNTIF(Groupstage_Winner,'Chaves 2a.Fase'!D5)</f>
        <v>2</v>
      </c>
      <c r="Y32" s="14">
        <f>COUNTIF(Groupstage_Loser,'Chaves 2a.Fase'!D5)</f>
        <v>1</v>
      </c>
      <c r="Z32" s="14">
        <f>W32-(X32+Y32)</f>
        <v>0</v>
      </c>
      <c r="AA32" s="14">
        <f>SUM(BOLIVIA_JOGOS)</f>
        <v>6</v>
      </c>
      <c r="AB32" s="14">
        <f>SUM(BOLIVIA_ADV)</f>
        <v>4</v>
      </c>
      <c r="AC32" s="14">
        <f>AA32-AB32</f>
        <v>2</v>
      </c>
      <c r="AD32" s="14">
        <f>X32*Winpoints+Z32*Drawpoints</f>
        <v>6</v>
      </c>
      <c r="AE32" s="14" t="str">
        <f>IF($AD32&lt;=$AD31,$V32,$V31)</f>
        <v>VINHAS</v>
      </c>
      <c r="AF32" s="14">
        <f>VLOOKUP($AE32,$V29:$AD32,9,FALSE)</f>
        <v>3</v>
      </c>
      <c r="AG32" s="14" t="str">
        <f>IF(AF32&lt;=AF30,AE32,AE30)</f>
        <v>BRENO</v>
      </c>
      <c r="AH32" s="14">
        <f>VLOOKUP($AG32,$V29:$AD32,9,FALSE)</f>
        <v>0</v>
      </c>
      <c r="AI32" s="14" t="str">
        <f>IF($AH32&lt;=$AH29,$AG32,$AG29)</f>
        <v>BRENO</v>
      </c>
      <c r="AJ32" s="14">
        <f>VLOOKUP($AI32,$V29:$AD32,9,FALSE)</f>
        <v>0</v>
      </c>
      <c r="AK32" s="14">
        <f>VLOOKUP($AI32,$V29:$AD32,8,FALSE)</f>
        <v>-8</v>
      </c>
      <c r="AL32" s="14" t="str">
        <f>IF(AND($AJ31=$AJ32,$AK32&gt;$AK31),$AI31,$AI32)</f>
        <v>BRENO</v>
      </c>
      <c r="AM32" s="14">
        <f>VLOOKUP($AL32,$V29:$AD32,9,FALSE)</f>
        <v>0</v>
      </c>
      <c r="AN32" s="14">
        <f>VLOOKUP($AL32,$V29:$AD32,8,FALSE)</f>
        <v>-8</v>
      </c>
      <c r="AO32" s="14" t="str">
        <f>IF(AND($AM30=$AM32,$AN32&gt;$AN30),$AL30,$AL32)</f>
        <v>BRENO</v>
      </c>
      <c r="AP32" s="14">
        <f>VLOOKUP($AO32,$V29:$AD32,9,FALSE)</f>
        <v>0</v>
      </c>
      <c r="AQ32" s="14">
        <f>VLOOKUP($AO32,$V29:$AD32,8,FALSE)</f>
        <v>-8</v>
      </c>
      <c r="AR32" s="14" t="str">
        <f>IF(AND($AP29=$AP32,$AQ32&gt;$AQ29),$AO29,$AO32)</f>
        <v>BRENO</v>
      </c>
      <c r="AS32" s="14">
        <f>VLOOKUP($AR32,$V29:$AD32,9,FALSE)</f>
        <v>0</v>
      </c>
      <c r="AT32" s="14">
        <f>VLOOKUP($AR32,$V29:$AD32,8,FALSE)</f>
        <v>-8</v>
      </c>
      <c r="AU32" s="14">
        <f>VLOOKUP($AR32,$V29:$AD32,6,FALSE)</f>
        <v>1</v>
      </c>
      <c r="AV32" s="14" t="str">
        <f>IF(AND($AS31=$AS32,$AT31=$AT32,$AU32&gt;$AU31),$AR31,$AR32)</f>
        <v>BRENO</v>
      </c>
      <c r="AW32" s="14">
        <f>VLOOKUP($AV32,$V29:$AD32,9,FALSE)</f>
        <v>0</v>
      </c>
      <c r="AX32" s="14">
        <f>VLOOKUP($AV32,$V29:$AD32,8,FALSE)</f>
        <v>-8</v>
      </c>
      <c r="AY32" s="14">
        <f>VLOOKUP($AV32,$V29:$AD32,6,FALSE)</f>
        <v>1</v>
      </c>
      <c r="AZ32" s="14" t="str">
        <f>IF(AND($AW30=$AW32,$AX30=$AX32,$AY32&gt;$AY30),$AV30,$AV32)</f>
        <v>BRENO</v>
      </c>
      <c r="BA32" s="14">
        <f>VLOOKUP($AZ32,$V29:$AD32,9,FALSE)</f>
        <v>0</v>
      </c>
      <c r="BB32" s="14">
        <f>VLOOKUP($AZ32,$V29:$AD32,8,FALSE)</f>
        <v>-8</v>
      </c>
      <c r="BC32" s="14">
        <f>VLOOKUP($AZ32,$V29:$AD32,6,FALSE)</f>
        <v>1</v>
      </c>
      <c r="BD32" s="14" t="str">
        <f>IF(AND($BA29=$BA32,$BB29=$BB32,$BC32&gt;$BC29),$AZ29,$AZ32)</f>
        <v>BRENO</v>
      </c>
      <c r="BE32" s="14">
        <f>VLOOKUP($BD32,$V29:$AD32,9,FALSE)</f>
        <v>0</v>
      </c>
      <c r="BF32" s="14">
        <f>VLOOKUP($BD32,$V29:$AD32,8,FALSE)</f>
        <v>-8</v>
      </c>
      <c r="BG32" s="14">
        <f>VLOOKUP($BD32,$V29:$AD32,6,FALSE)</f>
        <v>1</v>
      </c>
      <c r="BK32" s="14" t="str">
        <f>BD32</f>
        <v>BRENO</v>
      </c>
      <c r="BL32" s="14">
        <f>VLOOKUP($BK32,$V29:$AD32,2,FALSE)</f>
        <v>3</v>
      </c>
      <c r="BM32" s="14">
        <f>VLOOKUP($BK32,$V29:$AD32,3,FALSE)</f>
        <v>0</v>
      </c>
      <c r="BN32" s="14">
        <f>VLOOKUP($BK32,$V29:$AD32,4,FALSE)</f>
        <v>3</v>
      </c>
      <c r="BO32" s="14">
        <f>VLOOKUP($BK32,$V29:$AD32,5,FALSE)</f>
        <v>0</v>
      </c>
      <c r="BP32" s="14">
        <f>VLOOKUP($BK32,$V29:$AD32,6,FALSE)</f>
        <v>1</v>
      </c>
      <c r="BQ32" s="14">
        <f>VLOOKUP($BK32,$V29:$AD32,7,FALSE)</f>
        <v>9</v>
      </c>
      <c r="BR32" s="14">
        <f>VLOOKUP($BK32,$V29:$AD32,8,FALSE)</f>
        <v>-8</v>
      </c>
      <c r="BS32" s="14">
        <f>VLOOKUP($BK32,$V29:$AD32,9,FALSE)</f>
        <v>0</v>
      </c>
    </row>
    <row r="33" spans="1:20" ht="13.5" customHeight="1" thickBot="1">
      <c r="A33" s="40">
        <v>21</v>
      </c>
      <c r="B33" s="41">
        <v>10</v>
      </c>
      <c r="C33" s="34" t="str">
        <f>'Chaves 2a.Fase'!A11</f>
        <v>PAIM</v>
      </c>
      <c r="D33" s="49">
        <v>3</v>
      </c>
      <c r="E33" s="48">
        <v>0</v>
      </c>
      <c r="F33" s="35" t="str">
        <f>'Chaves 2a.Fase'!A9</f>
        <v>MICHEL</v>
      </c>
      <c r="G33" s="43" t="str">
        <f>'Carnet 1a.Fase'!L34</f>
        <v>UMBERTO</v>
      </c>
      <c r="H33" s="40"/>
      <c r="I33" s="14" t="str">
        <f t="shared" si="1"/>
        <v>PAIM</v>
      </c>
      <c r="J33" s="14" t="str">
        <f t="shared" si="2"/>
        <v>MICHEL</v>
      </c>
      <c r="L33" s="22"/>
      <c r="M33" s="23" t="s">
        <v>83</v>
      </c>
      <c r="N33" s="23" t="s">
        <v>84</v>
      </c>
      <c r="O33" s="23" t="s">
        <v>85</v>
      </c>
      <c r="P33" s="23" t="s">
        <v>86</v>
      </c>
      <c r="Q33" s="23" t="s">
        <v>87</v>
      </c>
      <c r="R33" s="23" t="s">
        <v>88</v>
      </c>
      <c r="S33" s="23" t="s">
        <v>89</v>
      </c>
      <c r="T33" s="24" t="s">
        <v>90</v>
      </c>
    </row>
    <row r="34" spans="1:20" ht="13.5" customHeight="1" thickBot="1">
      <c r="A34" s="26">
        <v>22</v>
      </c>
      <c r="B34" s="33">
        <v>11</v>
      </c>
      <c r="C34" s="34" t="str">
        <f>'Chaves 2a.Fase'!B10</f>
        <v>LEANDRINHO</v>
      </c>
      <c r="D34" s="50">
        <v>2</v>
      </c>
      <c r="E34" s="51">
        <v>0</v>
      </c>
      <c r="F34" s="35" t="str">
        <f>'Chaves 2a.Fase'!B8</f>
        <v>ELIAS</v>
      </c>
      <c r="G34" s="36" t="str">
        <f>'Carnet 1a.Fase'!L97</f>
        <v>TERROZO</v>
      </c>
      <c r="H34" s="26"/>
      <c r="I34" s="14" t="str">
        <f t="shared" si="1"/>
        <v>LEANDRINHO</v>
      </c>
      <c r="J34" s="14" t="str">
        <f t="shared" si="2"/>
        <v>ELIAS</v>
      </c>
      <c r="L34" s="25" t="str">
        <f aca="true" t="shared" si="6" ref="L34:T37">BK38</f>
        <v>PAIM</v>
      </c>
      <c r="M34" s="26">
        <f t="shared" si="6"/>
        <v>3</v>
      </c>
      <c r="N34" s="26">
        <f t="shared" si="6"/>
        <v>2</v>
      </c>
      <c r="O34" s="26">
        <f t="shared" si="6"/>
        <v>0</v>
      </c>
      <c r="P34" s="26">
        <f t="shared" si="6"/>
        <v>1</v>
      </c>
      <c r="Q34" s="26">
        <f t="shared" si="6"/>
        <v>4</v>
      </c>
      <c r="R34" s="26">
        <f t="shared" si="6"/>
        <v>0</v>
      </c>
      <c r="S34" s="26">
        <f t="shared" si="6"/>
        <v>4</v>
      </c>
      <c r="T34" s="27">
        <f t="shared" si="6"/>
        <v>7</v>
      </c>
    </row>
    <row r="35" spans="1:20" ht="13.5" customHeight="1" thickBot="1">
      <c r="A35" s="26">
        <v>22</v>
      </c>
      <c r="B35" s="33">
        <v>12</v>
      </c>
      <c r="C35" s="34" t="str">
        <f>'Chaves 2a.Fase'!B11</f>
        <v>ROBSON</v>
      </c>
      <c r="D35" s="49">
        <v>3</v>
      </c>
      <c r="E35" s="48">
        <v>0</v>
      </c>
      <c r="F35" s="35" t="str">
        <f>'Chaves 2a.Fase'!B9</f>
        <v>MARQUINHO</v>
      </c>
      <c r="G35" s="36" t="str">
        <f>'Carnet 1a.Fase'!L41</f>
        <v>FERNANDO</v>
      </c>
      <c r="H35" s="26"/>
      <c r="I35" s="14" t="str">
        <f t="shared" si="1"/>
        <v>ROBSON</v>
      </c>
      <c r="J35" s="14" t="str">
        <f t="shared" si="2"/>
        <v>MARQUINHO</v>
      </c>
      <c r="L35" s="25" t="str">
        <f t="shared" si="6"/>
        <v>JOSÉ</v>
      </c>
      <c r="M35" s="26">
        <f t="shared" si="6"/>
        <v>3</v>
      </c>
      <c r="N35" s="26">
        <f t="shared" si="6"/>
        <v>1</v>
      </c>
      <c r="O35" s="26">
        <f t="shared" si="6"/>
        <v>0</v>
      </c>
      <c r="P35" s="26">
        <f t="shared" si="6"/>
        <v>2</v>
      </c>
      <c r="Q35" s="26">
        <f t="shared" si="6"/>
        <v>5</v>
      </c>
      <c r="R35" s="26">
        <f t="shared" si="6"/>
        <v>2</v>
      </c>
      <c r="S35" s="26">
        <f t="shared" si="6"/>
        <v>3</v>
      </c>
      <c r="T35" s="27">
        <f t="shared" si="6"/>
        <v>5</v>
      </c>
    </row>
    <row r="36" spans="1:22" ht="13.5" customHeight="1" thickBot="1">
      <c r="A36" s="26">
        <v>23</v>
      </c>
      <c r="B36" s="33">
        <v>13</v>
      </c>
      <c r="C36" s="42" t="str">
        <f>'Chaves 2a.Fase'!C10</f>
        <v>OSMAR</v>
      </c>
      <c r="D36" s="50">
        <v>0</v>
      </c>
      <c r="E36" s="51">
        <v>0</v>
      </c>
      <c r="F36" s="43" t="str">
        <f>'Chaves 2a.Fase'!C8</f>
        <v>LEÃO</v>
      </c>
      <c r="G36" s="36" t="str">
        <f>'Carnet 1a.Fase'!L104</f>
        <v>THIAGO SCH.</v>
      </c>
      <c r="H36" s="26"/>
      <c r="I36" s="14" t="str">
        <f t="shared" si="1"/>
        <v>Draw</v>
      </c>
      <c r="J36" s="14" t="str">
        <f t="shared" si="2"/>
        <v>Draw</v>
      </c>
      <c r="L36" s="25" t="str">
        <f t="shared" si="6"/>
        <v>RODRIGO B.</v>
      </c>
      <c r="M36" s="26">
        <f t="shared" si="6"/>
        <v>3</v>
      </c>
      <c r="N36" s="26">
        <f t="shared" si="6"/>
        <v>1</v>
      </c>
      <c r="O36" s="26">
        <f t="shared" si="6"/>
        <v>2</v>
      </c>
      <c r="P36" s="26">
        <f t="shared" si="6"/>
        <v>0</v>
      </c>
      <c r="Q36" s="26">
        <f t="shared" si="6"/>
        <v>3</v>
      </c>
      <c r="R36" s="26">
        <f t="shared" si="6"/>
        <v>6</v>
      </c>
      <c r="S36" s="26">
        <f t="shared" si="6"/>
        <v>-3</v>
      </c>
      <c r="T36" s="27">
        <f t="shared" si="6"/>
        <v>3</v>
      </c>
      <c r="V36" s="14" t="s">
        <v>156</v>
      </c>
    </row>
    <row r="37" spans="1:71" ht="13.5" customHeight="1" thickBot="1">
      <c r="A37" s="26">
        <v>23</v>
      </c>
      <c r="B37" s="33">
        <v>14</v>
      </c>
      <c r="C37" s="34" t="str">
        <f>'Chaves 2a.Fase'!C11</f>
        <v>NILMAR</v>
      </c>
      <c r="D37" s="49">
        <v>0</v>
      </c>
      <c r="E37" s="48">
        <v>0</v>
      </c>
      <c r="F37" s="35" t="str">
        <f>'Chaves 2a.Fase'!C9</f>
        <v>ALESSANDRO</v>
      </c>
      <c r="G37" s="36" t="str">
        <f>'Carnet 1a.Fase'!L48</f>
        <v>SERGIO</v>
      </c>
      <c r="H37" s="26"/>
      <c r="I37" s="14" t="str">
        <f t="shared" si="1"/>
        <v>Draw</v>
      </c>
      <c r="J37" s="14" t="str">
        <f t="shared" si="2"/>
        <v>Draw</v>
      </c>
      <c r="L37" s="37" t="str">
        <f t="shared" si="6"/>
        <v>MICHEL</v>
      </c>
      <c r="M37" s="38">
        <f t="shared" si="6"/>
        <v>3</v>
      </c>
      <c r="N37" s="38">
        <f t="shared" si="6"/>
        <v>0</v>
      </c>
      <c r="O37" s="38">
        <f t="shared" si="6"/>
        <v>2</v>
      </c>
      <c r="P37" s="38">
        <f t="shared" si="6"/>
        <v>1</v>
      </c>
      <c r="Q37" s="38">
        <f t="shared" si="6"/>
        <v>0</v>
      </c>
      <c r="R37" s="38">
        <f t="shared" si="6"/>
        <v>4</v>
      </c>
      <c r="S37" s="38">
        <f t="shared" si="6"/>
        <v>-4</v>
      </c>
      <c r="T37" s="39">
        <f t="shared" si="6"/>
        <v>1</v>
      </c>
      <c r="W37" s="14" t="s">
        <v>107</v>
      </c>
      <c r="X37" s="14" t="s">
        <v>108</v>
      </c>
      <c r="Y37" s="14" t="s">
        <v>109</v>
      </c>
      <c r="Z37" s="14" t="s">
        <v>85</v>
      </c>
      <c r="AA37" s="14" t="s">
        <v>110</v>
      </c>
      <c r="AB37" s="14" t="s">
        <v>111</v>
      </c>
      <c r="AC37" s="14" t="s">
        <v>112</v>
      </c>
      <c r="AD37" s="14" t="s">
        <v>113</v>
      </c>
      <c r="AE37" s="14" t="s">
        <v>114</v>
      </c>
      <c r="AF37" s="14" t="s">
        <v>113</v>
      </c>
      <c r="AG37" s="14" t="s">
        <v>114</v>
      </c>
      <c r="AH37" s="14" t="s">
        <v>113</v>
      </c>
      <c r="AI37" s="14" t="s">
        <v>114</v>
      </c>
      <c r="AJ37" s="14" t="s">
        <v>113</v>
      </c>
      <c r="AK37" s="14" t="s">
        <v>112</v>
      </c>
      <c r="AL37" s="14" t="s">
        <v>114</v>
      </c>
      <c r="AM37" s="14" t="s">
        <v>113</v>
      </c>
      <c r="AN37" s="14" t="s">
        <v>112</v>
      </c>
      <c r="AO37" s="14" t="s">
        <v>114</v>
      </c>
      <c r="AP37" s="14" t="s">
        <v>113</v>
      </c>
      <c r="AQ37" s="14" t="s">
        <v>112</v>
      </c>
      <c r="AR37" s="14" t="s">
        <v>114</v>
      </c>
      <c r="AS37" s="14" t="s">
        <v>113</v>
      </c>
      <c r="AT37" s="14" t="s">
        <v>112</v>
      </c>
      <c r="AU37" s="14" t="s">
        <v>110</v>
      </c>
      <c r="AV37" s="14" t="s">
        <v>114</v>
      </c>
      <c r="AW37" s="14" t="s">
        <v>113</v>
      </c>
      <c r="AX37" s="14" t="s">
        <v>112</v>
      </c>
      <c r="AY37" s="14" t="s">
        <v>110</v>
      </c>
      <c r="AZ37" s="14" t="s">
        <v>114</v>
      </c>
      <c r="BA37" s="14" t="s">
        <v>113</v>
      </c>
      <c r="BB37" s="14" t="s">
        <v>112</v>
      </c>
      <c r="BC37" s="14" t="s">
        <v>110</v>
      </c>
      <c r="BD37" s="14" t="s">
        <v>114</v>
      </c>
      <c r="BE37" s="14" t="s">
        <v>113</v>
      </c>
      <c r="BF37" s="14" t="s">
        <v>112</v>
      </c>
      <c r="BG37" s="14" t="s">
        <v>110</v>
      </c>
      <c r="BL37" s="14" t="s">
        <v>115</v>
      </c>
      <c r="BM37" s="14" t="s">
        <v>108</v>
      </c>
      <c r="BN37" s="14" t="s">
        <v>109</v>
      </c>
      <c r="BO37" s="14" t="s">
        <v>85</v>
      </c>
      <c r="BP37" s="14" t="s">
        <v>110</v>
      </c>
      <c r="BQ37" s="14" t="s">
        <v>111</v>
      </c>
      <c r="BR37" s="14" t="s">
        <v>112</v>
      </c>
      <c r="BS37" s="14" t="s">
        <v>113</v>
      </c>
    </row>
    <row r="38" spans="1:71" ht="13.5" customHeight="1" thickBot="1">
      <c r="A38" s="26">
        <v>24</v>
      </c>
      <c r="B38" s="33">
        <v>15</v>
      </c>
      <c r="C38" s="34" t="str">
        <f>'Chaves 2a.Fase'!D10</f>
        <v>SILVIO</v>
      </c>
      <c r="D38" s="50">
        <v>2</v>
      </c>
      <c r="E38" s="51">
        <v>0</v>
      </c>
      <c r="F38" s="35" t="str">
        <f>'Chaves 2a.Fase'!D8</f>
        <v>ALDIR</v>
      </c>
      <c r="G38" s="36" t="str">
        <f>'Carnet 1a.Fase'!L111</f>
        <v>VICTOR</v>
      </c>
      <c r="H38" s="26"/>
      <c r="I38" s="14" t="str">
        <f t="shared" si="1"/>
        <v>SILVIO</v>
      </c>
      <c r="J38" s="14" t="str">
        <f t="shared" si="2"/>
        <v>ALDIR</v>
      </c>
      <c r="V38" s="14" t="str">
        <f>'Chaves 2a.Fase'!A8</f>
        <v>RODRIGO B.</v>
      </c>
      <c r="W38" s="14">
        <f>COUNT(ALEMANHA_JOGOS)</f>
        <v>3</v>
      </c>
      <c r="X38" s="14">
        <f>COUNTIF(Groupstage_Winner,'Chaves 2a.Fase'!A8)</f>
        <v>1</v>
      </c>
      <c r="Y38" s="14">
        <f>COUNTIF(Groupstage_Loser,'Chaves 2a.Fase'!A8)</f>
        <v>2</v>
      </c>
      <c r="Z38" s="14">
        <f>W38-(X38+Y38)</f>
        <v>0</v>
      </c>
      <c r="AA38" s="14">
        <f>SUM(ALEMANHA_JOGOS)</f>
        <v>3</v>
      </c>
      <c r="AB38" s="14">
        <f>SUM(ALEMANHA_ADV)</f>
        <v>6</v>
      </c>
      <c r="AC38" s="14">
        <f>AA38-AB38</f>
        <v>-3</v>
      </c>
      <c r="AD38" s="14">
        <f>X38*Winpoints+Z38*Drawpoints</f>
        <v>3</v>
      </c>
      <c r="AE38" s="14" t="str">
        <f>IF($AD38&gt;=$AD39,$V38,$V39)</f>
        <v>RODRIGO B.</v>
      </c>
      <c r="AF38" s="14">
        <f>VLOOKUP($AE38,$V38:$AD41,9,FALSE)</f>
        <v>3</v>
      </c>
      <c r="AG38" s="14" t="str">
        <f>IF($AF38&gt;=$AF40,$AE38,$AE40)</f>
        <v>PAIM</v>
      </c>
      <c r="AH38" s="14">
        <f>VLOOKUP($AG38,$V38:$AD41,9,FALSE)</f>
        <v>7</v>
      </c>
      <c r="AI38" s="14" t="str">
        <f>IF($AH38&gt;=$AH41,$AG38,$AG41)</f>
        <v>PAIM</v>
      </c>
      <c r="AJ38" s="14">
        <f>VLOOKUP($AI38,$V38:$AD41,9,FALSE)</f>
        <v>7</v>
      </c>
      <c r="AK38" s="14">
        <f>VLOOKUP($AI38,$V38:$AD41,8,FALSE)</f>
        <v>4</v>
      </c>
      <c r="AL38" s="14" t="str">
        <f>IF(AND($AJ38=$AJ39,$AK39&gt;$AK38),$AI39,$AI38)</f>
        <v>PAIM</v>
      </c>
      <c r="AM38" s="14">
        <f>VLOOKUP($AL38,$V38:$AD41,9,FALSE)</f>
        <v>7</v>
      </c>
      <c r="AN38" s="14">
        <f>VLOOKUP($AL38,$V38:$AD41,8,FALSE)</f>
        <v>4</v>
      </c>
      <c r="AO38" s="14" t="str">
        <f>IF(AND($AM38=$AM40,$AN40&gt;$AN38),$AL40,$AL38)</f>
        <v>PAIM</v>
      </c>
      <c r="AP38" s="14">
        <f>VLOOKUP($AO38,$V38:$AD41,9,FALSE)</f>
        <v>7</v>
      </c>
      <c r="AQ38" s="14">
        <f>VLOOKUP($AO38,$V38:$AD41,8,FALSE)</f>
        <v>4</v>
      </c>
      <c r="AR38" s="14" t="str">
        <f>IF(AND($AP38=$AP41,$AQ41&gt;$AQ38),$AO41,$AO38)</f>
        <v>PAIM</v>
      </c>
      <c r="AS38" s="14">
        <f>VLOOKUP($AR38,$V38:$AD41,9,FALSE)</f>
        <v>7</v>
      </c>
      <c r="AT38" s="14">
        <f>VLOOKUP($AR38,$V38:$AD41,8,FALSE)</f>
        <v>4</v>
      </c>
      <c r="AU38" s="14">
        <f>VLOOKUP($AR38,$V38:$AD41,6,FALSE)</f>
        <v>4</v>
      </c>
      <c r="AV38" s="14" t="str">
        <f>IF(AND($AS38=$AS39,$AT38=$AT39,$AU39&gt;$AU38),$AR39,$AR38)</f>
        <v>PAIM</v>
      </c>
      <c r="AW38" s="14">
        <f>VLOOKUP($AV38,$V38:$AD41,9,FALSE)</f>
        <v>7</v>
      </c>
      <c r="AX38" s="14">
        <f>VLOOKUP($AV38,$V38:$AD41,8,FALSE)</f>
        <v>4</v>
      </c>
      <c r="AY38" s="14">
        <f>VLOOKUP($AV38,$V38:$AD41,6,FALSE)</f>
        <v>4</v>
      </c>
      <c r="AZ38" s="14" t="str">
        <f>IF(AND($AW38=$AW40,$AX38=$AX40,$AY40&gt;$AY38),$AV40,$AV38)</f>
        <v>PAIM</v>
      </c>
      <c r="BA38" s="14">
        <f>VLOOKUP($AZ38,$V38:$AD41,9,FALSE)</f>
        <v>7</v>
      </c>
      <c r="BB38" s="14">
        <f>VLOOKUP($AZ38,$V38:$AD41,8,FALSE)</f>
        <v>4</v>
      </c>
      <c r="BC38" s="14">
        <f>VLOOKUP($AZ38,$V38:$AD41,6,FALSE)</f>
        <v>4</v>
      </c>
      <c r="BD38" s="14" t="str">
        <f>IF(AND($BA38=$BA41,$BB38=$BB41,$BC41&gt;$BC38),$AZ41,$AZ38)</f>
        <v>PAIM</v>
      </c>
      <c r="BE38" s="14">
        <f>VLOOKUP($BD38,$V38:$AD41,9,FALSE)</f>
        <v>7</v>
      </c>
      <c r="BF38" s="14">
        <f>VLOOKUP($BD38,$V38:$AD41,8,FALSE)</f>
        <v>4</v>
      </c>
      <c r="BG38" s="14">
        <f>VLOOKUP($BD38,$V38:$AD41,6,FALSE)</f>
        <v>4</v>
      </c>
      <c r="BK38" s="14" t="str">
        <f>BD38</f>
        <v>PAIM</v>
      </c>
      <c r="BL38" s="14">
        <f>VLOOKUP($BK38,$V38:$AD41,2,FALSE)</f>
        <v>3</v>
      </c>
      <c r="BM38" s="14">
        <f>VLOOKUP($BK38,$V38:$AD41,3,FALSE)</f>
        <v>2</v>
      </c>
      <c r="BN38" s="14">
        <f>VLOOKUP($BK38,$V38:$AD41,4,FALSE)</f>
        <v>0</v>
      </c>
      <c r="BO38" s="14">
        <f>VLOOKUP($BK38,$V38:$AD41,5,FALSE)</f>
        <v>1</v>
      </c>
      <c r="BP38" s="14">
        <f>VLOOKUP($BK38,$V38:$AD41,6,FALSE)</f>
        <v>4</v>
      </c>
      <c r="BQ38" s="14">
        <f>VLOOKUP($BK38,$V38:$AD41,7,FALSE)</f>
        <v>0</v>
      </c>
      <c r="BR38" s="14">
        <f>VLOOKUP($BK38,$V38:$AD41,8,FALSE)</f>
        <v>4</v>
      </c>
      <c r="BS38" s="14">
        <f>VLOOKUP($BK38,$V38:$AD41,9,FALSE)</f>
        <v>7</v>
      </c>
    </row>
    <row r="39" spans="1:71" ht="13.5" customHeight="1" thickBot="1">
      <c r="A39" s="26">
        <v>24</v>
      </c>
      <c r="B39" s="33">
        <v>16</v>
      </c>
      <c r="C39" s="34" t="str">
        <f>'Chaves 2a.Fase'!D11</f>
        <v>FELIPE</v>
      </c>
      <c r="D39" s="49">
        <v>0</v>
      </c>
      <c r="E39" s="48">
        <v>0</v>
      </c>
      <c r="F39" s="35" t="str">
        <f>'Chaves 2a.Fase'!D9</f>
        <v>DIOGO MALLET</v>
      </c>
      <c r="G39" s="36" t="str">
        <f>'Carnet 1a.Fase'!L55</f>
        <v>ITALO</v>
      </c>
      <c r="H39" s="26"/>
      <c r="I39" s="14" t="str">
        <f t="shared" si="1"/>
        <v>Draw</v>
      </c>
      <c r="J39" s="14" t="str">
        <f t="shared" si="2"/>
        <v>Draw</v>
      </c>
      <c r="L39" s="19" t="s">
        <v>157</v>
      </c>
      <c r="M39" s="20"/>
      <c r="N39" s="20"/>
      <c r="O39" s="20"/>
      <c r="P39" s="20"/>
      <c r="Q39" s="20"/>
      <c r="R39" s="20"/>
      <c r="S39" s="20"/>
      <c r="T39" s="21"/>
      <c r="V39" s="14" t="str">
        <f>'Chaves 2a.Fase'!A9</f>
        <v>MICHEL</v>
      </c>
      <c r="W39" s="14">
        <f>COUNT(INGLATERRA_JOGOS)</f>
        <v>3</v>
      </c>
      <c r="X39" s="14">
        <f>COUNTIF(Groupstage_Winner,'Chaves 2a.Fase'!A9)</f>
        <v>0</v>
      </c>
      <c r="Y39" s="14">
        <f>COUNTIF(Groupstage_Loser,'Chaves 2a.Fase'!A9)</f>
        <v>2</v>
      </c>
      <c r="Z39" s="14">
        <f>W39-(X39+Y39)</f>
        <v>1</v>
      </c>
      <c r="AA39" s="14">
        <f>SUM(INGLATERRA_JOGOS)</f>
        <v>0</v>
      </c>
      <c r="AB39" s="14">
        <f>SUM(INGLATERRA_ADV)</f>
        <v>4</v>
      </c>
      <c r="AC39" s="14">
        <f>AA39-AB39</f>
        <v>-4</v>
      </c>
      <c r="AD39" s="14">
        <f>X39*Winpoints+Z39*Drawpoints</f>
        <v>1</v>
      </c>
      <c r="AE39" s="14" t="str">
        <f>IF($AD39&lt;=$AD38,$V39,$V38)</f>
        <v>MICHEL</v>
      </c>
      <c r="AF39" s="14">
        <f>VLOOKUP($AE39,$V38:$AD41,9,FALSE)</f>
        <v>1</v>
      </c>
      <c r="AG39" s="14" t="str">
        <f>IF(AF39&gt;=AF41,AE39,AE41)</f>
        <v>JOSÉ</v>
      </c>
      <c r="AH39" s="14">
        <f>VLOOKUP($AG39,$V38:$AD41,9,FALSE)</f>
        <v>5</v>
      </c>
      <c r="AI39" s="14" t="str">
        <f>IF($AH39&gt;=$AH40,$AG39,$AG40)</f>
        <v>JOSÉ</v>
      </c>
      <c r="AJ39" s="14">
        <f>VLOOKUP($AI39,$V38:$AD41,9,FALSE)</f>
        <v>5</v>
      </c>
      <c r="AK39" s="14">
        <f>VLOOKUP($AI39,$V38:$AD41,8,FALSE)</f>
        <v>3</v>
      </c>
      <c r="AL39" s="14" t="str">
        <f>IF(AND($AJ38=$AJ39,$AK39&gt;$AK38),$AI38,$AI39)</f>
        <v>JOSÉ</v>
      </c>
      <c r="AM39" s="14">
        <f>VLOOKUP($AL39,$V38:$AD41,9,FALSE)</f>
        <v>5</v>
      </c>
      <c r="AN39" s="14">
        <f>VLOOKUP($AL39,$V38:$AD41,8,FALSE)</f>
        <v>3</v>
      </c>
      <c r="AO39" s="14" t="str">
        <f>IF(AND($AM39=$AM41,$AN41&gt;$AN39),$AL41,$AL39)</f>
        <v>JOSÉ</v>
      </c>
      <c r="AP39" s="14">
        <f>VLOOKUP($AO39,$V38:$AD41,9,FALSE)</f>
        <v>5</v>
      </c>
      <c r="AQ39" s="14">
        <f>VLOOKUP($AO39,$V38:$AD41,8,FALSE)</f>
        <v>3</v>
      </c>
      <c r="AR39" s="14" t="str">
        <f>IF(AND($AP39=$AP40,$AQ40&gt;$AQ39),$AO40,$AO39)</f>
        <v>JOSÉ</v>
      </c>
      <c r="AS39" s="14">
        <f>VLOOKUP($AR39,$V38:$AD41,9,FALSE)</f>
        <v>5</v>
      </c>
      <c r="AT39" s="14">
        <f>VLOOKUP($AR39,$V38:$AD41,8,FALSE)</f>
        <v>3</v>
      </c>
      <c r="AU39" s="14">
        <f>VLOOKUP($AR39,$V38:$AD41,6,FALSE)</f>
        <v>5</v>
      </c>
      <c r="AV39" s="14" t="str">
        <f>IF(AND($AS38=$AS39,$AT38=$AT39,$AU39&gt;$AU38),$AR38,$AR39)</f>
        <v>JOSÉ</v>
      </c>
      <c r="AW39" s="14">
        <f>VLOOKUP($AV39,$V38:$AD41,9,FALSE)</f>
        <v>5</v>
      </c>
      <c r="AX39" s="14">
        <f>VLOOKUP($AV39,$V38:$AD41,8,FALSE)</f>
        <v>3</v>
      </c>
      <c r="AY39" s="14">
        <f>VLOOKUP($AV39,$V38:$AD41,6,FALSE)</f>
        <v>5</v>
      </c>
      <c r="AZ39" s="14" t="str">
        <f>IF(AND($AW39=$AW41,$AX39=$AX41,$AY41&gt;$AY39),$AV41,$AV39)</f>
        <v>JOSÉ</v>
      </c>
      <c r="BA39" s="14">
        <f>VLOOKUP($AZ39,$V38:$AD41,9,FALSE)</f>
        <v>5</v>
      </c>
      <c r="BB39" s="14">
        <f>VLOOKUP($AZ39,$V38:$AD41,8,FALSE)</f>
        <v>3</v>
      </c>
      <c r="BC39" s="14">
        <f>VLOOKUP($AZ39,$V38:$AD41,6,FALSE)</f>
        <v>5</v>
      </c>
      <c r="BD39" s="14" t="str">
        <f>IF(AND($BA39=$BA40,$BB39=$BB40,$BC40&gt;$BC39),$AZ40,$AZ39)</f>
        <v>JOSÉ</v>
      </c>
      <c r="BE39" s="14">
        <f>VLOOKUP($BD39,$V38:$AD41,9,FALSE)</f>
        <v>5</v>
      </c>
      <c r="BF39" s="14">
        <f>VLOOKUP($BD39,$V38:$AD41,8,FALSE)</f>
        <v>3</v>
      </c>
      <c r="BG39" s="14">
        <f>VLOOKUP($BD39,$V38:$AD41,6,FALSE)</f>
        <v>5</v>
      </c>
      <c r="BK39" s="14" t="str">
        <f>BD39</f>
        <v>JOSÉ</v>
      </c>
      <c r="BL39" s="14">
        <f>VLOOKUP($BK39,$V38:$AD41,2,FALSE)</f>
        <v>3</v>
      </c>
      <c r="BM39" s="14">
        <f>VLOOKUP($BK39,$V38:$AD41,3,FALSE)</f>
        <v>1</v>
      </c>
      <c r="BN39" s="14">
        <f>VLOOKUP($BK39,$V38:$AD41,4,FALSE)</f>
        <v>0</v>
      </c>
      <c r="BO39" s="14">
        <f>VLOOKUP($BK39,$V38:$AD41,5,FALSE)</f>
        <v>2</v>
      </c>
      <c r="BP39" s="14">
        <f>VLOOKUP($BK39,$V38:$AD41,6,FALSE)</f>
        <v>5</v>
      </c>
      <c r="BQ39" s="14">
        <f>VLOOKUP($BK39,$V38:$AD41,7,FALSE)</f>
        <v>2</v>
      </c>
      <c r="BR39" s="14">
        <f>VLOOKUP($BK39,$V38:$AD41,8,FALSE)</f>
        <v>3</v>
      </c>
      <c r="BS39" s="14">
        <f>VLOOKUP($BK39,$V38:$AD41,9,FALSE)</f>
        <v>5</v>
      </c>
    </row>
    <row r="40" spans="1:71" ht="15" customHeight="1" thickBot="1">
      <c r="A40" s="77" t="s">
        <v>158</v>
      </c>
      <c r="B40" s="77"/>
      <c r="C40" s="77"/>
      <c r="D40" s="77"/>
      <c r="E40" s="77"/>
      <c r="F40" s="77"/>
      <c r="G40" s="77"/>
      <c r="H40" s="77"/>
      <c r="L40" s="22"/>
      <c r="M40" s="23" t="s">
        <v>83</v>
      </c>
      <c r="N40" s="23" t="s">
        <v>84</v>
      </c>
      <c r="O40" s="23" t="s">
        <v>85</v>
      </c>
      <c r="P40" s="23" t="s">
        <v>86</v>
      </c>
      <c r="Q40" s="23" t="s">
        <v>87</v>
      </c>
      <c r="R40" s="23" t="s">
        <v>88</v>
      </c>
      <c r="S40" s="23" t="s">
        <v>89</v>
      </c>
      <c r="T40" s="24" t="s">
        <v>90</v>
      </c>
      <c r="V40" s="14" t="str">
        <f>'Chaves 2a.Fase'!A10</f>
        <v>JOSÉ</v>
      </c>
      <c r="W40" s="14">
        <f>COUNT(ITALIA_JOGOS)</f>
        <v>3</v>
      </c>
      <c r="X40" s="14">
        <f>COUNTIF(Groupstage_Winner,'Chaves 2a.Fase'!A10)</f>
        <v>1</v>
      </c>
      <c r="Y40" s="14">
        <f>COUNTIF(Groupstage_Loser,'Chaves 2a.Fase'!A10)</f>
        <v>0</v>
      </c>
      <c r="Z40" s="14">
        <f>W40-(X40+Y40)</f>
        <v>2</v>
      </c>
      <c r="AA40" s="14">
        <f>SUM(ITALIA_JOGOS)</f>
        <v>5</v>
      </c>
      <c r="AB40" s="14">
        <f>SUM(ITALIA_ADV)</f>
        <v>2</v>
      </c>
      <c r="AC40" s="14">
        <f>AA40-AB40</f>
        <v>3</v>
      </c>
      <c r="AD40" s="14">
        <f>X40*Winpoints+Z40*Drawpoints</f>
        <v>5</v>
      </c>
      <c r="AE40" s="14" t="str">
        <f>IF($AD40&gt;=$AD41,$V40,$V41)</f>
        <v>PAIM</v>
      </c>
      <c r="AF40" s="14">
        <f>VLOOKUP($AE40,$V38:$AD41,9,FALSE)</f>
        <v>7</v>
      </c>
      <c r="AG40" s="14" t="str">
        <f>IF($AF40&lt;=$AF38,$AE40,$AE38)</f>
        <v>RODRIGO B.</v>
      </c>
      <c r="AH40" s="14">
        <f>VLOOKUP($AG40,$V38:$AD41,9,FALSE)</f>
        <v>3</v>
      </c>
      <c r="AI40" s="14" t="str">
        <f>IF($AH40&lt;=$AH39,$AG40,$AG39)</f>
        <v>RODRIGO B.</v>
      </c>
      <c r="AJ40" s="14">
        <f>VLOOKUP($AI40,$V38:$AD41,9,FALSE)</f>
        <v>3</v>
      </c>
      <c r="AK40" s="14">
        <f>VLOOKUP($AI40,$V38:$AD41,8,FALSE)</f>
        <v>-3</v>
      </c>
      <c r="AL40" s="14" t="str">
        <f>IF(AND($AJ40=$AJ41,$AK41&gt;$AK40),$AI41,$AI40)</f>
        <v>RODRIGO B.</v>
      </c>
      <c r="AM40" s="14">
        <f>VLOOKUP($AL40,$V38:$AD41,9,FALSE)</f>
        <v>3</v>
      </c>
      <c r="AN40" s="14">
        <f>VLOOKUP($AL40,$V38:$AD41,8,FALSE)</f>
        <v>-3</v>
      </c>
      <c r="AO40" s="14" t="str">
        <f>IF(AND($AM38=$AM40,$AN40&gt;$AN38),$AL38,$AL40)</f>
        <v>RODRIGO B.</v>
      </c>
      <c r="AP40" s="14">
        <f>VLOOKUP($AO40,$V38:$AD41,9,FALSE)</f>
        <v>3</v>
      </c>
      <c r="AQ40" s="14">
        <f>VLOOKUP($AO40,$V38:$AD41,8,FALSE)</f>
        <v>-3</v>
      </c>
      <c r="AR40" s="14" t="str">
        <f>IF(AND($AP39=$AP40,$AQ40&gt;$AQ39),$AO39,$AO40)</f>
        <v>RODRIGO B.</v>
      </c>
      <c r="AS40" s="14">
        <f>VLOOKUP($AR40,$V38:$AD41,9,FALSE)</f>
        <v>3</v>
      </c>
      <c r="AT40" s="14">
        <f>VLOOKUP($AR40,$V38:$AD41,8,FALSE)</f>
        <v>-3</v>
      </c>
      <c r="AU40" s="14">
        <f>VLOOKUP($AR40,$V38:$AD41,6,FALSE)</f>
        <v>3</v>
      </c>
      <c r="AV40" s="14" t="str">
        <f>IF(AND($AS40=$AS41,$AT40=$AT41,$AU41&gt;$AU40),$AR41,$AR40)</f>
        <v>RODRIGO B.</v>
      </c>
      <c r="AW40" s="14">
        <f>VLOOKUP($AV40,$V38:$AD41,9,FALSE)</f>
        <v>3</v>
      </c>
      <c r="AX40" s="14">
        <f>VLOOKUP($AV40,$V38:$AD41,8,FALSE)</f>
        <v>-3</v>
      </c>
      <c r="AY40" s="14">
        <f>VLOOKUP($AV40,$V38:$AD41,6,FALSE)</f>
        <v>3</v>
      </c>
      <c r="AZ40" s="14" t="str">
        <f>IF(AND($AW38=$AW40,$AX38=$AX40,$AY40&gt;$AY38),$AV38,$AV40)</f>
        <v>RODRIGO B.</v>
      </c>
      <c r="BA40" s="14">
        <f>VLOOKUP($AZ40,$V38:$AD41,9,FALSE)</f>
        <v>3</v>
      </c>
      <c r="BB40" s="14">
        <f>VLOOKUP($AZ40,$V38:$AD41,8,FALSE)</f>
        <v>-3</v>
      </c>
      <c r="BC40" s="14">
        <f>VLOOKUP($AZ40,$V38:$AD41,6,FALSE)</f>
        <v>3</v>
      </c>
      <c r="BD40" s="14" t="str">
        <f>IF(AND($BA39=$BA40,$BB39=$BB40,$BC40&gt;$BC39),$AZ39,$AZ40)</f>
        <v>RODRIGO B.</v>
      </c>
      <c r="BE40" s="14">
        <f>VLOOKUP($BD40,$V38:$AD41,9,FALSE)</f>
        <v>3</v>
      </c>
      <c r="BF40" s="14">
        <f>VLOOKUP($BD40,$V38:$AD41,8,FALSE)</f>
        <v>-3</v>
      </c>
      <c r="BG40" s="14">
        <f>VLOOKUP($BD40,$V38:$AD41,6,FALSE)</f>
        <v>3</v>
      </c>
      <c r="BK40" s="14" t="str">
        <f>BD40</f>
        <v>RODRIGO B.</v>
      </c>
      <c r="BL40" s="14">
        <f>VLOOKUP($BK40,$V38:$AD41,2,FALSE)</f>
        <v>3</v>
      </c>
      <c r="BM40" s="14">
        <f>VLOOKUP($BK40,$V38:$AD41,3,FALSE)</f>
        <v>1</v>
      </c>
      <c r="BN40" s="14">
        <f>VLOOKUP($BK40,$V38:$AD41,4,FALSE)</f>
        <v>2</v>
      </c>
      <c r="BO40" s="14">
        <f>VLOOKUP($BK40,$V38:$AD41,5,FALSE)</f>
        <v>0</v>
      </c>
      <c r="BP40" s="14">
        <f>VLOOKUP($BK40,$V38:$AD41,6,FALSE)</f>
        <v>3</v>
      </c>
      <c r="BQ40" s="14">
        <f>VLOOKUP($BK40,$V38:$AD41,7,FALSE)</f>
        <v>6</v>
      </c>
      <c r="BR40" s="14">
        <f>VLOOKUP($BK40,$V38:$AD41,8,FALSE)</f>
        <v>-3</v>
      </c>
      <c r="BS40" s="14">
        <f>VLOOKUP($BK40,$V38:$AD41,9,FALSE)</f>
        <v>3</v>
      </c>
    </row>
    <row r="41" spans="1:71" ht="13.5" customHeight="1" thickBot="1">
      <c r="A41" s="26">
        <v>17</v>
      </c>
      <c r="B41" s="33">
        <v>1</v>
      </c>
      <c r="C41" s="34" t="str">
        <f>'Chaves 2a.Fase'!A2</f>
        <v>JOÃO GARIMA</v>
      </c>
      <c r="D41" s="49">
        <v>3</v>
      </c>
      <c r="E41" s="48">
        <v>1</v>
      </c>
      <c r="F41" s="35" t="str">
        <f>'Chaves 2a.Fase'!A3</f>
        <v>SINVAL</v>
      </c>
      <c r="G41" s="36" t="str">
        <f>'Carnet 1a.Fase'!L7</f>
        <v>PAULO</v>
      </c>
      <c r="H41" s="26"/>
      <c r="I41" s="14" t="str">
        <f t="shared" si="1"/>
        <v>JOÃO GARIMA</v>
      </c>
      <c r="J41" s="14" t="str">
        <f t="shared" si="2"/>
        <v>SINVAL</v>
      </c>
      <c r="L41" s="25" t="str">
        <f aca="true" t="shared" si="7" ref="L41:T44">BK45</f>
        <v>ROBSON</v>
      </c>
      <c r="M41" s="26">
        <f t="shared" si="7"/>
        <v>3</v>
      </c>
      <c r="N41" s="26">
        <f t="shared" si="7"/>
        <v>1</v>
      </c>
      <c r="O41" s="26">
        <f t="shared" si="7"/>
        <v>0</v>
      </c>
      <c r="P41" s="26">
        <f t="shared" si="7"/>
        <v>2</v>
      </c>
      <c r="Q41" s="26">
        <f t="shared" si="7"/>
        <v>3</v>
      </c>
      <c r="R41" s="26">
        <f t="shared" si="7"/>
        <v>0</v>
      </c>
      <c r="S41" s="26">
        <f t="shared" si="7"/>
        <v>3</v>
      </c>
      <c r="T41" s="27">
        <f t="shared" si="7"/>
        <v>5</v>
      </c>
      <c r="V41" s="14" t="str">
        <f>'Chaves 2a.Fase'!A11</f>
        <v>PAIM</v>
      </c>
      <c r="W41" s="14">
        <f>COUNT(FRANÇA_JOGOS)</f>
        <v>3</v>
      </c>
      <c r="X41" s="14">
        <f>COUNTIF(Groupstage_Winner,'Chaves 2a.Fase'!A11)</f>
        <v>2</v>
      </c>
      <c r="Y41" s="14">
        <f>COUNTIF(Groupstage_Loser,'Chaves 2a.Fase'!A11)</f>
        <v>0</v>
      </c>
      <c r="Z41" s="14">
        <f>W41-(X41+Y41)</f>
        <v>1</v>
      </c>
      <c r="AA41" s="14">
        <f>SUM(FRANÇA_JOGOS)</f>
        <v>4</v>
      </c>
      <c r="AB41" s="14">
        <f>SUM(FRANÇA_ADV)</f>
        <v>0</v>
      </c>
      <c r="AC41" s="14">
        <f>AA41-AB41</f>
        <v>4</v>
      </c>
      <c r="AD41" s="14">
        <f>X41*Winpoints+Z41*Drawpoints</f>
        <v>7</v>
      </c>
      <c r="AE41" s="14" t="str">
        <f>IF($AD41&lt;=$AD40,$V41,$V40)</f>
        <v>JOSÉ</v>
      </c>
      <c r="AF41" s="14">
        <f>VLOOKUP($AE41,$V38:$AD41,9,FALSE)</f>
        <v>5</v>
      </c>
      <c r="AG41" s="14" t="str">
        <f>IF(AF41&lt;=AF39,AE41,AE39)</f>
        <v>MICHEL</v>
      </c>
      <c r="AH41" s="14">
        <f>VLOOKUP($AG41,$V38:$AD41,9,FALSE)</f>
        <v>1</v>
      </c>
      <c r="AI41" s="14" t="str">
        <f>IF($AH41&lt;=$AH38,$AG41,$AG38)</f>
        <v>MICHEL</v>
      </c>
      <c r="AJ41" s="14">
        <f>VLOOKUP($AI41,$V38:$AD41,9,FALSE)</f>
        <v>1</v>
      </c>
      <c r="AK41" s="14">
        <f>VLOOKUP($AI41,$V38:$AD41,8,FALSE)</f>
        <v>-4</v>
      </c>
      <c r="AL41" s="14" t="str">
        <f>IF(AND($AJ40=$AJ41,$AK41&gt;$AK40),$AI40,$AI41)</f>
        <v>MICHEL</v>
      </c>
      <c r="AM41" s="14">
        <f>VLOOKUP($AL41,$V38:$AD41,9,FALSE)</f>
        <v>1</v>
      </c>
      <c r="AN41" s="14">
        <f>VLOOKUP($AL41,$V38:$AD41,8,FALSE)</f>
        <v>-4</v>
      </c>
      <c r="AO41" s="14" t="str">
        <f>IF(AND($AM39=$AM41,$AN41&gt;$AN39),$AL39,$AL41)</f>
        <v>MICHEL</v>
      </c>
      <c r="AP41" s="14">
        <f>VLOOKUP($AO41,$V38:$AD41,9,FALSE)</f>
        <v>1</v>
      </c>
      <c r="AQ41" s="14">
        <f>VLOOKUP($AO41,$V38:$AD41,8,FALSE)</f>
        <v>-4</v>
      </c>
      <c r="AR41" s="14" t="str">
        <f>IF(AND($AP38=$AP41,$AQ41&gt;$AQ38),$AO38,$AO41)</f>
        <v>MICHEL</v>
      </c>
      <c r="AS41" s="14">
        <f>VLOOKUP($AR41,$V38:$AD41,9,FALSE)</f>
        <v>1</v>
      </c>
      <c r="AT41" s="14">
        <f>VLOOKUP($AR41,$V38:$AD41,8,FALSE)</f>
        <v>-4</v>
      </c>
      <c r="AU41" s="14">
        <f>VLOOKUP($AR41,$V38:$AD41,6,FALSE)</f>
        <v>0</v>
      </c>
      <c r="AV41" s="14" t="str">
        <f>IF(AND($AS40=$AS41,$AT40=$AT41,$AU41&gt;$AU40),$AR40,$AR41)</f>
        <v>MICHEL</v>
      </c>
      <c r="AW41" s="14">
        <f>VLOOKUP($AV41,$V38:$AD41,9,FALSE)</f>
        <v>1</v>
      </c>
      <c r="AX41" s="14">
        <f>VLOOKUP($AV41,$V38:$AD41,8,FALSE)</f>
        <v>-4</v>
      </c>
      <c r="AY41" s="14">
        <f>VLOOKUP($AV41,$V38:$AD41,6,FALSE)</f>
        <v>0</v>
      </c>
      <c r="AZ41" s="14" t="str">
        <f>IF(AND($AW39=$AW41,$AX39=$AX41,$AY41&gt;$AY39),$AV39,$AV41)</f>
        <v>MICHEL</v>
      </c>
      <c r="BA41" s="14">
        <f>VLOOKUP($AZ41,$V38:$AD41,9,FALSE)</f>
        <v>1</v>
      </c>
      <c r="BB41" s="14">
        <f>VLOOKUP($AZ41,$V38:$AD41,8,FALSE)</f>
        <v>-4</v>
      </c>
      <c r="BC41" s="14">
        <f>VLOOKUP($AZ41,$V38:$AD41,6,FALSE)</f>
        <v>0</v>
      </c>
      <c r="BD41" s="14" t="str">
        <f>IF(AND($BA38=$BA41,$BB38=$BB41,$BC41&gt;$BC38),$AZ38,$AZ41)</f>
        <v>MICHEL</v>
      </c>
      <c r="BE41" s="14">
        <f>VLOOKUP($BD41,$V38:$AD41,9,FALSE)</f>
        <v>1</v>
      </c>
      <c r="BF41" s="14">
        <f>VLOOKUP($BD41,$V38:$AD41,8,FALSE)</f>
        <v>-4</v>
      </c>
      <c r="BG41" s="14">
        <f>VLOOKUP($BD41,$V38:$AD41,6,FALSE)</f>
        <v>0</v>
      </c>
      <c r="BK41" s="14" t="str">
        <f>BD41</f>
        <v>MICHEL</v>
      </c>
      <c r="BL41" s="14">
        <f>VLOOKUP($BK41,$V38:$AD41,2,FALSE)</f>
        <v>3</v>
      </c>
      <c r="BM41" s="14">
        <f>VLOOKUP($BK41,$V38:$AD41,3,FALSE)</f>
        <v>0</v>
      </c>
      <c r="BN41" s="14">
        <f>VLOOKUP($BK41,$V38:$AD41,4,FALSE)</f>
        <v>2</v>
      </c>
      <c r="BO41" s="14">
        <f>VLOOKUP($BK41,$V38:$AD41,5,FALSE)</f>
        <v>1</v>
      </c>
      <c r="BP41" s="14">
        <f>VLOOKUP($BK41,$V38:$AD41,6,FALSE)</f>
        <v>0</v>
      </c>
      <c r="BQ41" s="14">
        <f>VLOOKUP($BK41,$V38:$AD41,7,FALSE)</f>
        <v>4</v>
      </c>
      <c r="BR41" s="14">
        <f>VLOOKUP($BK41,$V38:$AD41,8,FALSE)</f>
        <v>-4</v>
      </c>
      <c r="BS41" s="14">
        <f>VLOOKUP($BK41,$V38:$AD41,9,FALSE)</f>
        <v>1</v>
      </c>
    </row>
    <row r="42" spans="1:20" ht="13.5" customHeight="1" thickBot="1">
      <c r="A42" s="26">
        <v>17</v>
      </c>
      <c r="B42" s="33">
        <v>2</v>
      </c>
      <c r="C42" s="34" t="str">
        <f>'Chaves 2a.Fase'!A4</f>
        <v>EMERSON</v>
      </c>
      <c r="D42" s="50">
        <v>4</v>
      </c>
      <c r="E42" s="51">
        <v>1</v>
      </c>
      <c r="F42" s="35" t="str">
        <f>'Chaves 2a.Fase'!A5</f>
        <v>RUI</v>
      </c>
      <c r="G42" s="36" t="str">
        <f>'Carnet 1a.Fase'!L14</f>
        <v>BETÃO</v>
      </c>
      <c r="H42" s="26"/>
      <c r="I42" s="14" t="str">
        <f t="shared" si="1"/>
        <v>EMERSON</v>
      </c>
      <c r="J42" s="14" t="str">
        <f t="shared" si="2"/>
        <v>RUI</v>
      </c>
      <c r="L42" s="25" t="str">
        <f t="shared" si="7"/>
        <v>LEANDRINHO</v>
      </c>
      <c r="M42" s="26">
        <f t="shared" si="7"/>
        <v>3</v>
      </c>
      <c r="N42" s="26">
        <f t="shared" si="7"/>
        <v>1</v>
      </c>
      <c r="O42" s="26">
        <f t="shared" si="7"/>
        <v>0</v>
      </c>
      <c r="P42" s="26">
        <f t="shared" si="7"/>
        <v>2</v>
      </c>
      <c r="Q42" s="26">
        <f t="shared" si="7"/>
        <v>2</v>
      </c>
      <c r="R42" s="26">
        <f t="shared" si="7"/>
        <v>0</v>
      </c>
      <c r="S42" s="26">
        <f t="shared" si="7"/>
        <v>2</v>
      </c>
      <c r="T42" s="27">
        <f t="shared" si="7"/>
        <v>5</v>
      </c>
    </row>
    <row r="43" spans="1:22" ht="13.5" customHeight="1" thickBot="1">
      <c r="A43" s="26">
        <v>18</v>
      </c>
      <c r="B43" s="33">
        <v>3</v>
      </c>
      <c r="C43" s="34" t="str">
        <f>'Chaves 2a.Fase'!B2</f>
        <v>PUFAL</v>
      </c>
      <c r="D43" s="49">
        <v>0</v>
      </c>
      <c r="E43" s="48">
        <v>1</v>
      </c>
      <c r="F43" s="35" t="str">
        <f>'Chaves 2a.Fase'!B3</f>
        <v>ZILBER</v>
      </c>
      <c r="G43" s="36" t="str">
        <f>'Carnet 1a.Fase'!L21</f>
        <v>CAJU</v>
      </c>
      <c r="H43" s="26"/>
      <c r="I43" s="14" t="str">
        <f t="shared" si="1"/>
        <v>ZILBER</v>
      </c>
      <c r="J43" s="14" t="str">
        <f t="shared" si="2"/>
        <v>PUFAL</v>
      </c>
      <c r="L43" s="25" t="str">
        <f t="shared" si="7"/>
        <v>ELIAS</v>
      </c>
      <c r="M43" s="26">
        <f t="shared" si="7"/>
        <v>3</v>
      </c>
      <c r="N43" s="26">
        <f t="shared" si="7"/>
        <v>0</v>
      </c>
      <c r="O43" s="26">
        <f t="shared" si="7"/>
        <v>1</v>
      </c>
      <c r="P43" s="26">
        <f t="shared" si="7"/>
        <v>2</v>
      </c>
      <c r="Q43" s="26">
        <f t="shared" si="7"/>
        <v>1</v>
      </c>
      <c r="R43" s="26">
        <f t="shared" si="7"/>
        <v>3</v>
      </c>
      <c r="S43" s="26">
        <f t="shared" si="7"/>
        <v>-2</v>
      </c>
      <c r="T43" s="27">
        <f t="shared" si="7"/>
        <v>2</v>
      </c>
      <c r="V43" s="14" t="s">
        <v>159</v>
      </c>
    </row>
    <row r="44" spans="1:30" ht="13.5" customHeight="1" thickBot="1">
      <c r="A44" s="26">
        <v>18</v>
      </c>
      <c r="B44" s="33">
        <v>4</v>
      </c>
      <c r="C44" s="34" t="str">
        <f>'Chaves 2a.Fase'!B4</f>
        <v>ALEX</v>
      </c>
      <c r="D44" s="50">
        <v>0</v>
      </c>
      <c r="E44" s="51">
        <v>0</v>
      </c>
      <c r="F44" s="35" t="str">
        <f>'Chaves 2a.Fase'!B5</f>
        <v>JULINHO</v>
      </c>
      <c r="G44" s="36" t="str">
        <f>'Carnet 1a.Fase'!L28</f>
        <v>LUCIANO</v>
      </c>
      <c r="H44" s="26"/>
      <c r="I44" s="14" t="str">
        <f t="shared" si="1"/>
        <v>Draw</v>
      </c>
      <c r="J44" s="14" t="str">
        <f t="shared" si="2"/>
        <v>Draw</v>
      </c>
      <c r="L44" s="37" t="str">
        <f t="shared" si="7"/>
        <v>MARQUINHO</v>
      </c>
      <c r="M44" s="38">
        <f t="shared" si="7"/>
        <v>3</v>
      </c>
      <c r="N44" s="38">
        <f t="shared" si="7"/>
        <v>0</v>
      </c>
      <c r="O44" s="38">
        <f t="shared" si="7"/>
        <v>1</v>
      </c>
      <c r="P44" s="38">
        <f t="shared" si="7"/>
        <v>2</v>
      </c>
      <c r="Q44" s="38">
        <f t="shared" si="7"/>
        <v>1</v>
      </c>
      <c r="R44" s="38">
        <f t="shared" si="7"/>
        <v>4</v>
      </c>
      <c r="S44" s="38">
        <f t="shared" si="7"/>
        <v>-3</v>
      </c>
      <c r="T44" s="39">
        <f t="shared" si="7"/>
        <v>2</v>
      </c>
      <c r="W44" s="14" t="s">
        <v>107</v>
      </c>
      <c r="X44" s="14" t="s">
        <v>108</v>
      </c>
      <c r="Y44" s="14" t="s">
        <v>109</v>
      </c>
      <c r="Z44" s="14" t="s">
        <v>85</v>
      </c>
      <c r="AA44" s="14" t="s">
        <v>110</v>
      </c>
      <c r="AB44" s="14" t="s">
        <v>111</v>
      </c>
      <c r="AC44" s="14" t="s">
        <v>112</v>
      </c>
      <c r="AD44" s="14" t="s">
        <v>113</v>
      </c>
    </row>
    <row r="45" spans="1:71" ht="13.5" customHeight="1" thickBot="1">
      <c r="A45" s="26">
        <v>19</v>
      </c>
      <c r="B45" s="33">
        <v>5</v>
      </c>
      <c r="C45" s="34" t="str">
        <f>'Chaves 2a.Fase'!C2</f>
        <v>BRANDÃO</v>
      </c>
      <c r="D45" s="49">
        <v>1</v>
      </c>
      <c r="E45" s="48">
        <v>0</v>
      </c>
      <c r="F45" s="35" t="str">
        <f>'Chaves 2a.Fase'!C3</f>
        <v>DUDA</v>
      </c>
      <c r="G45" s="36" t="str">
        <f>'Carnet 1a.Fase'!L35</f>
        <v>MARCOS JUNQ.</v>
      </c>
      <c r="H45" s="26"/>
      <c r="I45" s="14" t="str">
        <f t="shared" si="1"/>
        <v>BRANDÃO</v>
      </c>
      <c r="J45" s="14" t="str">
        <f t="shared" si="2"/>
        <v>DUDA</v>
      </c>
      <c r="V45" s="14" t="str">
        <f>'Chaves 2a.Fase'!B8</f>
        <v>ELIAS</v>
      </c>
      <c r="W45" s="14">
        <f>COUNT(ESPANHA_JOGOS)</f>
        <v>3</v>
      </c>
      <c r="X45" s="14">
        <f>COUNTIF(Groupstage_Winner,'Chaves 2a.Fase'!B8)</f>
        <v>0</v>
      </c>
      <c r="Y45" s="14">
        <f>COUNTIF(Groupstage_Loser,'Chaves 2a.Fase'!B8)</f>
        <v>1</v>
      </c>
      <c r="Z45" s="14">
        <f>W45-(X45+Y45)</f>
        <v>2</v>
      </c>
      <c r="AA45" s="14">
        <f>SUM(ESPANHA_JOGOS)</f>
        <v>1</v>
      </c>
      <c r="AB45" s="14">
        <f>SUM(ESPANHA_ADV)</f>
        <v>3</v>
      </c>
      <c r="AC45" s="14">
        <f>AA45-AB45</f>
        <v>-2</v>
      </c>
      <c r="AD45" s="14">
        <f>X45*Winpoints+Z45*Drawpoints</f>
        <v>2</v>
      </c>
      <c r="AE45" s="14" t="str">
        <f>IF($AD45&gt;=$AD46,$V45,$V46)</f>
        <v>ELIAS</v>
      </c>
      <c r="AF45" s="14">
        <f>VLOOKUP($AE45,$V45:$AD48,9,FALSE)</f>
        <v>2</v>
      </c>
      <c r="AG45" s="14" t="str">
        <f>IF($AF45&gt;=$AF47,$AE45,$AE47)</f>
        <v>LEANDRINHO</v>
      </c>
      <c r="AH45" s="14">
        <f>VLOOKUP($AG45,$V45:$AD48,9,FALSE)</f>
        <v>5</v>
      </c>
      <c r="AI45" s="14" t="str">
        <f>IF($AH45&gt;=$AH48,$AG45,$AG48)</f>
        <v>LEANDRINHO</v>
      </c>
      <c r="AJ45" s="14">
        <f>VLOOKUP($AI45,$V45:$AD48,9,FALSE)</f>
        <v>5</v>
      </c>
      <c r="AK45" s="14">
        <f>VLOOKUP($AI45,$V45:$AD48,8,FALSE)</f>
        <v>2</v>
      </c>
      <c r="AL45" s="14" t="str">
        <f>IF(AND($AJ45=$AJ46,$AK46&gt;$AK45),$AI46,$AI45)</f>
        <v>ROBSON</v>
      </c>
      <c r="AM45" s="14">
        <f>VLOOKUP($AL45,$V45:$AD48,9,FALSE)</f>
        <v>5</v>
      </c>
      <c r="AN45" s="14">
        <f>VLOOKUP($AL45,$V45:$AD48,8,FALSE)</f>
        <v>3</v>
      </c>
      <c r="AO45" s="14" t="str">
        <f>IF(AND($AM45=$AM47,$AN47&gt;$AN45),$AL47,$AL45)</f>
        <v>ROBSON</v>
      </c>
      <c r="AP45" s="14">
        <f>VLOOKUP($AO45,$V45:$AD48,9,FALSE)</f>
        <v>5</v>
      </c>
      <c r="AQ45" s="14">
        <f>VLOOKUP($AO45,$V45:$AD48,8,FALSE)</f>
        <v>3</v>
      </c>
      <c r="AR45" s="14" t="str">
        <f>IF(AND($AP45=$AP48,$AQ48&gt;$AQ45),$AO48,$AO45)</f>
        <v>ROBSON</v>
      </c>
      <c r="AS45" s="14">
        <f>VLOOKUP($AR45,$V45:$AD48,9,FALSE)</f>
        <v>5</v>
      </c>
      <c r="AT45" s="14">
        <f>VLOOKUP($AR45,$V45:$AD48,8,FALSE)</f>
        <v>3</v>
      </c>
      <c r="AU45" s="14">
        <f>VLOOKUP($AR45,$V45:$AD48,6,FALSE)</f>
        <v>3</v>
      </c>
      <c r="AV45" s="14" t="str">
        <f>IF(AND($AS45=$AS46,$AT45=$AT46,$AU46&gt;$AU45),$AR46,$AR45)</f>
        <v>ROBSON</v>
      </c>
      <c r="AW45" s="14">
        <f>VLOOKUP($AV45,$V45:$AD48,9,FALSE)</f>
        <v>5</v>
      </c>
      <c r="AX45" s="14">
        <f>VLOOKUP($AV45,$V45:$AD48,8,FALSE)</f>
        <v>3</v>
      </c>
      <c r="AY45" s="14">
        <f>VLOOKUP($AV45,$V45:$AD48,6,FALSE)</f>
        <v>3</v>
      </c>
      <c r="AZ45" s="14" t="str">
        <f>IF(AND($AW45=$AW47,$AX45=$AX47,$AY47&gt;$AY45),$AV47,$AV45)</f>
        <v>ROBSON</v>
      </c>
      <c r="BA45" s="14">
        <f>VLOOKUP($AZ45,$V45:$AD48,9,FALSE)</f>
        <v>5</v>
      </c>
      <c r="BB45" s="14">
        <f>VLOOKUP($AZ45,$V45:$AD48,8,FALSE)</f>
        <v>3</v>
      </c>
      <c r="BC45" s="14">
        <f>VLOOKUP($AZ45,$V45:$AD48,6,FALSE)</f>
        <v>3</v>
      </c>
      <c r="BD45" s="14" t="str">
        <f>IF(AND($BA45=$BA48,$BB45=$BB48,$BC48&gt;$BC45),$AZ48,$AZ45)</f>
        <v>ROBSON</v>
      </c>
      <c r="BE45" s="14">
        <f>VLOOKUP($BD45,$V45:$AD48,9,FALSE)</f>
        <v>5</v>
      </c>
      <c r="BF45" s="14">
        <f>VLOOKUP($BD45,$V45:$AD48,8,FALSE)</f>
        <v>3</v>
      </c>
      <c r="BG45" s="14">
        <f>VLOOKUP($BD45,$V45:$AD48,6,FALSE)</f>
        <v>3</v>
      </c>
      <c r="BK45" s="14" t="str">
        <f>BD45</f>
        <v>ROBSON</v>
      </c>
      <c r="BL45" s="14">
        <f>VLOOKUP($BK45,$V45:$AD48,2,FALSE)</f>
        <v>3</v>
      </c>
      <c r="BM45" s="14">
        <f>VLOOKUP($BK45,$V45:$AD48,3,FALSE)</f>
        <v>1</v>
      </c>
      <c r="BN45" s="14">
        <f>VLOOKUP($BK45,$V45:$AD48,4,FALSE)</f>
        <v>0</v>
      </c>
      <c r="BO45" s="14">
        <f>VLOOKUP($BK45,$V45:$AD48,5,FALSE)</f>
        <v>2</v>
      </c>
      <c r="BP45" s="14">
        <f>VLOOKUP($BK45,$V45:$AD48,6,FALSE)</f>
        <v>3</v>
      </c>
      <c r="BQ45" s="14">
        <f>VLOOKUP($BK45,$V45:$AD48,7,FALSE)</f>
        <v>0</v>
      </c>
      <c r="BR45" s="14">
        <f>VLOOKUP($BK45,$V45:$AD48,8,FALSE)</f>
        <v>3</v>
      </c>
      <c r="BS45" s="14">
        <f>VLOOKUP($BK45,$V45:$AD48,9,FALSE)</f>
        <v>5</v>
      </c>
    </row>
    <row r="46" spans="1:71" ht="13.5" customHeight="1" thickBot="1">
      <c r="A46" s="26">
        <v>19</v>
      </c>
      <c r="B46" s="33">
        <v>6</v>
      </c>
      <c r="C46" s="42" t="str">
        <f>'Chaves 2a.Fase'!C4</f>
        <v>MALLET</v>
      </c>
      <c r="D46" s="50">
        <v>0</v>
      </c>
      <c r="E46" s="51">
        <v>3</v>
      </c>
      <c r="F46" s="43" t="str">
        <f>'Chaves 2a.Fase'!C5</f>
        <v>JONI</v>
      </c>
      <c r="G46" s="36" t="str">
        <f>'Carnet 1a.Fase'!L42</f>
        <v>AUGUSTO</v>
      </c>
      <c r="H46" s="26"/>
      <c r="I46" s="14" t="str">
        <f t="shared" si="1"/>
        <v>JONI</v>
      </c>
      <c r="J46" s="14" t="str">
        <f t="shared" si="2"/>
        <v>MALLET</v>
      </c>
      <c r="L46" s="19" t="s">
        <v>160</v>
      </c>
      <c r="M46" s="20"/>
      <c r="N46" s="20"/>
      <c r="O46" s="20"/>
      <c r="P46" s="20"/>
      <c r="Q46" s="20"/>
      <c r="R46" s="20"/>
      <c r="S46" s="20"/>
      <c r="T46" s="21"/>
      <c r="V46" s="14" t="str">
        <f>'Chaves 2a.Fase'!B9</f>
        <v>MARQUINHO</v>
      </c>
      <c r="W46" s="14">
        <f>COUNT(PORTUGAL_JOGOS)</f>
        <v>3</v>
      </c>
      <c r="X46" s="14">
        <f>COUNTIF(Groupstage_Winner,'Chaves 2a.Fase'!B9)</f>
        <v>0</v>
      </c>
      <c r="Y46" s="14">
        <f>COUNTIF(Groupstage_Loser,'Chaves 2a.Fase'!B9)</f>
        <v>1</v>
      </c>
      <c r="Z46" s="14">
        <f>W46-(X46+Y46)</f>
        <v>2</v>
      </c>
      <c r="AA46" s="14">
        <f>SUM(PORTUGAL_JOGOS)</f>
        <v>1</v>
      </c>
      <c r="AB46" s="14">
        <f>SUM(PORTUGAL_ADV)</f>
        <v>4</v>
      </c>
      <c r="AC46" s="14">
        <f>AA46-AB46</f>
        <v>-3</v>
      </c>
      <c r="AD46" s="14">
        <f>X46*Winpoints+Z46*Drawpoints</f>
        <v>2</v>
      </c>
      <c r="AE46" s="14" t="str">
        <f>IF($AD46&lt;=$AD45,$V46,$V45)</f>
        <v>MARQUINHO</v>
      </c>
      <c r="AF46" s="14">
        <f>VLOOKUP($AE46,$V45:$AD48,9,FALSE)</f>
        <v>2</v>
      </c>
      <c r="AG46" s="14" t="str">
        <f>IF(AF46&gt;=AF48,AE46,AE48)</f>
        <v>ROBSON</v>
      </c>
      <c r="AH46" s="14">
        <f>VLOOKUP($AG46,$V45:$AD48,9,FALSE)</f>
        <v>5</v>
      </c>
      <c r="AI46" s="14" t="str">
        <f>IF($AH46&gt;=$AH47,$AG46,$AG47)</f>
        <v>ROBSON</v>
      </c>
      <c r="AJ46" s="14">
        <f>VLOOKUP($AI46,$V45:$AD48,9,FALSE)</f>
        <v>5</v>
      </c>
      <c r="AK46" s="14">
        <f>VLOOKUP($AI46,$V45:$AD48,8,FALSE)</f>
        <v>3</v>
      </c>
      <c r="AL46" s="14" t="str">
        <f>IF(AND($AJ45=$AJ46,$AK46&gt;$AK45),$AI45,$AI46)</f>
        <v>LEANDRINHO</v>
      </c>
      <c r="AM46" s="14">
        <f>VLOOKUP($AL46,$V45:$AD48,9,FALSE)</f>
        <v>5</v>
      </c>
      <c r="AN46" s="14">
        <f>VLOOKUP($AL46,$V45:$AD48,8,FALSE)</f>
        <v>2</v>
      </c>
      <c r="AO46" s="14" t="str">
        <f>IF(AND($AM46=$AM48,$AN48&gt;$AN46),$AL48,$AL46)</f>
        <v>LEANDRINHO</v>
      </c>
      <c r="AP46" s="14">
        <f>VLOOKUP($AO46,$V45:$AD48,9,FALSE)</f>
        <v>5</v>
      </c>
      <c r="AQ46" s="14">
        <f>VLOOKUP($AO46,$V45:$AD48,8,FALSE)</f>
        <v>2</v>
      </c>
      <c r="AR46" s="14" t="str">
        <f>IF(AND($AP46=$AP47,$AQ47&gt;$AQ46),$AO47,$AO46)</f>
        <v>LEANDRINHO</v>
      </c>
      <c r="AS46" s="14">
        <f>VLOOKUP($AR46,$V45:$AD48,9,FALSE)</f>
        <v>5</v>
      </c>
      <c r="AT46" s="14">
        <f>VLOOKUP($AR46,$V45:$AD48,8,FALSE)</f>
        <v>2</v>
      </c>
      <c r="AU46" s="14">
        <f>VLOOKUP($AR46,$V45:$AD48,6,FALSE)</f>
        <v>2</v>
      </c>
      <c r="AV46" s="14" t="str">
        <f>IF(AND($AS45=$AS46,$AT45=$AT46,$AU46&gt;$AU45),$AR45,$AR46)</f>
        <v>LEANDRINHO</v>
      </c>
      <c r="AW46" s="14">
        <f>VLOOKUP($AV46,$V45:$AD48,9,FALSE)</f>
        <v>5</v>
      </c>
      <c r="AX46" s="14">
        <f>VLOOKUP($AV46,$V45:$AD48,8,FALSE)</f>
        <v>2</v>
      </c>
      <c r="AY46" s="14">
        <f>VLOOKUP($AV46,$V45:$AD48,6,FALSE)</f>
        <v>2</v>
      </c>
      <c r="AZ46" s="14" t="str">
        <f>IF(AND($AW46=$AW48,$AX46=$AX48,$AY48&gt;$AY46),$AV48,$AV46)</f>
        <v>LEANDRINHO</v>
      </c>
      <c r="BA46" s="14">
        <f>VLOOKUP($AZ46,$V45:$AD48,9,FALSE)</f>
        <v>5</v>
      </c>
      <c r="BB46" s="14">
        <f>VLOOKUP($AZ46,$V45:$AD48,8,FALSE)</f>
        <v>2</v>
      </c>
      <c r="BC46" s="14">
        <f>VLOOKUP($AZ46,$V45:$AD48,6,FALSE)</f>
        <v>2</v>
      </c>
      <c r="BD46" s="14" t="str">
        <f>IF(AND($BA46=$BA47,$BB46=$BB47,$BC47&gt;$BC46),$AZ47,$AZ46)</f>
        <v>LEANDRINHO</v>
      </c>
      <c r="BE46" s="14">
        <f>VLOOKUP($BD46,$V45:$AD48,9,FALSE)</f>
        <v>5</v>
      </c>
      <c r="BF46" s="14">
        <f>VLOOKUP($BD46,$V45:$AD48,8,FALSE)</f>
        <v>2</v>
      </c>
      <c r="BG46" s="14">
        <f>VLOOKUP($BD46,$V45:$AD48,6,FALSE)</f>
        <v>2</v>
      </c>
      <c r="BK46" s="14" t="str">
        <f>BD46</f>
        <v>LEANDRINHO</v>
      </c>
      <c r="BL46" s="14">
        <f>VLOOKUP($BK46,$V45:$AD48,2,FALSE)</f>
        <v>3</v>
      </c>
      <c r="BM46" s="14">
        <f>VLOOKUP($BK46,$V45:$AD48,3,FALSE)</f>
        <v>1</v>
      </c>
      <c r="BN46" s="14">
        <f>VLOOKUP($BK46,$V45:$AD48,4,FALSE)</f>
        <v>0</v>
      </c>
      <c r="BO46" s="14">
        <f>VLOOKUP($BK46,$V45:$AD48,5,FALSE)</f>
        <v>2</v>
      </c>
      <c r="BP46" s="14">
        <f>VLOOKUP($BK46,$V45:$AD48,6,FALSE)</f>
        <v>2</v>
      </c>
      <c r="BQ46" s="14">
        <f>VLOOKUP($BK46,$V45:$AD48,7,FALSE)</f>
        <v>0</v>
      </c>
      <c r="BR46" s="14">
        <f>VLOOKUP($BK46,$V45:$AD48,8,FALSE)</f>
        <v>2</v>
      </c>
      <c r="BS46" s="14">
        <f>VLOOKUP($BK46,$V45:$AD48,9,FALSE)</f>
        <v>5</v>
      </c>
    </row>
    <row r="47" spans="1:71" ht="13.5" customHeight="1" thickBot="1">
      <c r="A47" s="26">
        <v>20</v>
      </c>
      <c r="B47" s="33">
        <v>7</v>
      </c>
      <c r="C47" s="34" t="str">
        <f>'Chaves 2a.Fase'!D2</f>
        <v>BRENO</v>
      </c>
      <c r="D47" s="49">
        <v>1</v>
      </c>
      <c r="E47" s="48">
        <v>5</v>
      </c>
      <c r="F47" s="35" t="str">
        <f>'Chaves 2a.Fase'!D3</f>
        <v>VINICIUS</v>
      </c>
      <c r="G47" s="36" t="str">
        <f>'Carnet 1a.Fase'!L49</f>
        <v>MARCOS ANT.</v>
      </c>
      <c r="H47" s="26"/>
      <c r="I47" s="14" t="str">
        <f t="shared" si="1"/>
        <v>VINICIUS</v>
      </c>
      <c r="J47" s="14" t="str">
        <f t="shared" si="2"/>
        <v>BRENO</v>
      </c>
      <c r="L47" s="22"/>
      <c r="M47" s="23" t="s">
        <v>83</v>
      </c>
      <c r="N47" s="23" t="s">
        <v>84</v>
      </c>
      <c r="O47" s="23" t="s">
        <v>85</v>
      </c>
      <c r="P47" s="23" t="s">
        <v>86</v>
      </c>
      <c r="Q47" s="23" t="s">
        <v>87</v>
      </c>
      <c r="R47" s="23" t="s">
        <v>88</v>
      </c>
      <c r="S47" s="23" t="s">
        <v>89</v>
      </c>
      <c r="T47" s="24" t="s">
        <v>90</v>
      </c>
      <c r="V47" s="14" t="str">
        <f>'Chaves 2a.Fase'!B10</f>
        <v>LEANDRINHO</v>
      </c>
      <c r="W47" s="14">
        <f>COUNT(RUSSIA_JOGOS)</f>
        <v>3</v>
      </c>
      <c r="X47" s="14">
        <f>COUNTIF(Groupstage_Winner,'Chaves 2a.Fase'!B10)</f>
        <v>1</v>
      </c>
      <c r="Y47" s="14">
        <f>COUNTIF(Groupstage_Loser,'Chaves 2a.Fase'!B10)</f>
        <v>0</v>
      </c>
      <c r="Z47" s="14">
        <f>W47-(X47+Y47)</f>
        <v>2</v>
      </c>
      <c r="AA47" s="14">
        <f>SUM(RUSSIA_JOGOS)</f>
        <v>2</v>
      </c>
      <c r="AB47" s="14">
        <f>SUM(RUSSIA_ADV)</f>
        <v>0</v>
      </c>
      <c r="AC47" s="14">
        <f>AA47-AB47</f>
        <v>2</v>
      </c>
      <c r="AD47" s="14">
        <f>X47*Winpoints+Z47*Drawpoints</f>
        <v>5</v>
      </c>
      <c r="AE47" s="14" t="str">
        <f>IF($AD47&gt;=$AD48,$V47,$V48)</f>
        <v>LEANDRINHO</v>
      </c>
      <c r="AF47" s="14">
        <f>VLOOKUP($AE47,$V45:$AD48,9,FALSE)</f>
        <v>5</v>
      </c>
      <c r="AG47" s="14" t="str">
        <f>IF($AF47&lt;=$AF45,$AE47,$AE45)</f>
        <v>ELIAS</v>
      </c>
      <c r="AH47" s="14">
        <f>VLOOKUP($AG47,$V45:$AD48,9,FALSE)</f>
        <v>2</v>
      </c>
      <c r="AI47" s="14" t="str">
        <f>IF($AH47&lt;=$AH46,$AG47,$AG46)</f>
        <v>ELIAS</v>
      </c>
      <c r="AJ47" s="14">
        <f>VLOOKUP($AI47,$V45:$AD48,9,FALSE)</f>
        <v>2</v>
      </c>
      <c r="AK47" s="14">
        <f>VLOOKUP($AI47,$V45:$AD48,8,FALSE)</f>
        <v>-2</v>
      </c>
      <c r="AL47" s="14" t="str">
        <f>IF(AND($AJ47=$AJ48,$AK48&gt;$AK47),$AI48,$AI47)</f>
        <v>ELIAS</v>
      </c>
      <c r="AM47" s="14">
        <f>VLOOKUP($AL47,$V45:$AD48,9,FALSE)</f>
        <v>2</v>
      </c>
      <c r="AN47" s="14">
        <f>VLOOKUP($AL47,$V45:$AD48,8,FALSE)</f>
        <v>-2</v>
      </c>
      <c r="AO47" s="14" t="str">
        <f>IF(AND($AM45=$AM47,$AN47&gt;$AN45),$AL45,$AL47)</f>
        <v>ELIAS</v>
      </c>
      <c r="AP47" s="14">
        <f>VLOOKUP($AO47,$V45:$AD48,9,FALSE)</f>
        <v>2</v>
      </c>
      <c r="AQ47" s="14">
        <f>VLOOKUP($AO47,$V45:$AD48,8,FALSE)</f>
        <v>-2</v>
      </c>
      <c r="AR47" s="14" t="str">
        <f>IF(AND($AP46=$AP47,$AQ47&gt;$AQ46),$AO46,$AO47)</f>
        <v>ELIAS</v>
      </c>
      <c r="AS47" s="14">
        <f>VLOOKUP($AR47,$V45:$AD48,9,FALSE)</f>
        <v>2</v>
      </c>
      <c r="AT47" s="14">
        <f>VLOOKUP($AR47,$V45:$AD48,8,FALSE)</f>
        <v>-2</v>
      </c>
      <c r="AU47" s="14">
        <f>VLOOKUP($AR47,$V45:$AD48,6,FALSE)</f>
        <v>1</v>
      </c>
      <c r="AV47" s="14" t="str">
        <f>IF(AND($AS47=$AS48,$AT47=$AT48,$AU48&gt;$AU47),$AR48,$AR47)</f>
        <v>ELIAS</v>
      </c>
      <c r="AW47" s="14">
        <f>VLOOKUP($AV47,$V45:$AD48,9,FALSE)</f>
        <v>2</v>
      </c>
      <c r="AX47" s="14">
        <f>VLOOKUP($AV47,$V45:$AD48,8,FALSE)</f>
        <v>-2</v>
      </c>
      <c r="AY47" s="14">
        <f>VLOOKUP($AV47,$V45:$AD48,6,FALSE)</f>
        <v>1</v>
      </c>
      <c r="AZ47" s="14" t="str">
        <f>IF(AND($AW45=$AW47,$AX45=$AX47,$AY47&gt;$AY45),$AV45,$AV47)</f>
        <v>ELIAS</v>
      </c>
      <c r="BA47" s="14">
        <f>VLOOKUP($AZ47,$V45:$AD48,9,FALSE)</f>
        <v>2</v>
      </c>
      <c r="BB47" s="14">
        <f>VLOOKUP($AZ47,$V45:$AD48,8,FALSE)</f>
        <v>-2</v>
      </c>
      <c r="BC47" s="14">
        <f>VLOOKUP($AZ47,$V45:$AD48,6,FALSE)</f>
        <v>1</v>
      </c>
      <c r="BD47" s="14" t="str">
        <f>IF(AND($BA46=$BA47,$BB46=$BB47,$BC47&gt;$BC46),$AZ46,$AZ47)</f>
        <v>ELIAS</v>
      </c>
      <c r="BE47" s="14">
        <f>VLOOKUP($BD47,$V45:$AD48,9,FALSE)</f>
        <v>2</v>
      </c>
      <c r="BF47" s="14">
        <f>VLOOKUP($BD47,$V45:$AD48,8,FALSE)</f>
        <v>-2</v>
      </c>
      <c r="BG47" s="14">
        <f>VLOOKUP($BD47,$V45:$AD48,6,FALSE)</f>
        <v>1</v>
      </c>
      <c r="BK47" s="14" t="str">
        <f>BD47</f>
        <v>ELIAS</v>
      </c>
      <c r="BL47" s="14">
        <f>VLOOKUP($BK47,$V45:$AD48,2,FALSE)</f>
        <v>3</v>
      </c>
      <c r="BM47" s="14">
        <f>VLOOKUP($BK47,$V45:$AD48,3,FALSE)</f>
        <v>0</v>
      </c>
      <c r="BN47" s="14">
        <f>VLOOKUP($BK47,$V45:$AD48,4,FALSE)</f>
        <v>1</v>
      </c>
      <c r="BO47" s="14">
        <f>VLOOKUP($BK47,$V45:$AD48,5,FALSE)</f>
        <v>2</v>
      </c>
      <c r="BP47" s="14">
        <f>VLOOKUP($BK47,$V45:$AD48,6,FALSE)</f>
        <v>1</v>
      </c>
      <c r="BQ47" s="14">
        <f>VLOOKUP($BK47,$V45:$AD48,7,FALSE)</f>
        <v>3</v>
      </c>
      <c r="BR47" s="14">
        <f>VLOOKUP($BK47,$V45:$AD48,8,FALSE)</f>
        <v>-2</v>
      </c>
      <c r="BS47" s="14">
        <f>VLOOKUP($BK47,$V45:$AD48,9,FALSE)</f>
        <v>2</v>
      </c>
    </row>
    <row r="48" spans="1:71" ht="13.5" customHeight="1" thickBot="1">
      <c r="A48" s="26">
        <v>20</v>
      </c>
      <c r="B48" s="33">
        <v>8</v>
      </c>
      <c r="C48" s="34" t="str">
        <f>'Chaves 2a.Fase'!D4</f>
        <v>VINHAS</v>
      </c>
      <c r="D48" s="50">
        <v>1</v>
      </c>
      <c r="E48" s="51">
        <v>3</v>
      </c>
      <c r="F48" s="35" t="str">
        <f>'Chaves 2a.Fase'!D5</f>
        <v>ELISANDRO</v>
      </c>
      <c r="G48" s="36" t="s">
        <v>31</v>
      </c>
      <c r="H48" s="26"/>
      <c r="I48" s="14" t="str">
        <f t="shared" si="1"/>
        <v>ELISANDRO</v>
      </c>
      <c r="J48" s="14" t="str">
        <f t="shared" si="2"/>
        <v>VINHAS</v>
      </c>
      <c r="L48" s="25" t="str">
        <f aca="true" t="shared" si="8" ref="L48:T51">BK52</f>
        <v>ALESSANDRO</v>
      </c>
      <c r="M48" s="26">
        <f t="shared" si="8"/>
        <v>3</v>
      </c>
      <c r="N48" s="26">
        <f t="shared" si="8"/>
        <v>1</v>
      </c>
      <c r="O48" s="26">
        <f t="shared" si="8"/>
        <v>0</v>
      </c>
      <c r="P48" s="26">
        <f t="shared" si="8"/>
        <v>2</v>
      </c>
      <c r="Q48" s="26">
        <f t="shared" si="8"/>
        <v>1</v>
      </c>
      <c r="R48" s="26">
        <f t="shared" si="8"/>
        <v>0</v>
      </c>
      <c r="S48" s="26">
        <f t="shared" si="8"/>
        <v>1</v>
      </c>
      <c r="T48" s="27">
        <f t="shared" si="8"/>
        <v>5</v>
      </c>
      <c r="V48" s="14" t="str">
        <f>'Chaves 2a.Fase'!B11</f>
        <v>ROBSON</v>
      </c>
      <c r="W48" s="14">
        <f>COUNT(HUNGRIA_JOGOS)</f>
        <v>3</v>
      </c>
      <c r="X48" s="14">
        <f>COUNTIF(Groupstage_Winner,'Chaves 2a.Fase'!B11)</f>
        <v>1</v>
      </c>
      <c r="Y48" s="14">
        <f>COUNTIF(Groupstage_Loser,'Chaves 2a.Fase'!B11)</f>
        <v>0</v>
      </c>
      <c r="Z48" s="14">
        <f>W48-(X48+Y48)</f>
        <v>2</v>
      </c>
      <c r="AA48" s="14">
        <f>SUM(HUNGRIA_JOGOS)</f>
        <v>3</v>
      </c>
      <c r="AB48" s="14">
        <f>SUM(HUNGRIA_ADV)</f>
        <v>0</v>
      </c>
      <c r="AC48" s="14">
        <f>AA48-AB48</f>
        <v>3</v>
      </c>
      <c r="AD48" s="14">
        <f>X48*Winpoints+Z48*Drawpoints</f>
        <v>5</v>
      </c>
      <c r="AE48" s="14" t="str">
        <f>IF($AD48&lt;=$AD47,$V48,$V47)</f>
        <v>ROBSON</v>
      </c>
      <c r="AF48" s="14">
        <f>VLOOKUP($AE48,$V45:$AD48,9,FALSE)</f>
        <v>5</v>
      </c>
      <c r="AG48" s="14" t="str">
        <f>IF(AF48&lt;=AF46,AE48,AE46)</f>
        <v>MARQUINHO</v>
      </c>
      <c r="AH48" s="14">
        <f>VLOOKUP($AG48,$V45:$AD48,9,FALSE)</f>
        <v>2</v>
      </c>
      <c r="AI48" s="14" t="str">
        <f>IF($AH48&lt;=$AH45,$AG48,$AG45)</f>
        <v>MARQUINHO</v>
      </c>
      <c r="AJ48" s="14">
        <f>VLOOKUP($AI48,$V45:$AD48,9,FALSE)</f>
        <v>2</v>
      </c>
      <c r="AK48" s="14">
        <f>VLOOKUP($AI48,$V45:$AD48,8,FALSE)</f>
        <v>-3</v>
      </c>
      <c r="AL48" s="14" t="str">
        <f>IF(AND($AJ47=$AJ48,$AK48&gt;$AK47),$AI47,$AI48)</f>
        <v>MARQUINHO</v>
      </c>
      <c r="AM48" s="14">
        <f>VLOOKUP($AL48,$V45:$AD48,9,FALSE)</f>
        <v>2</v>
      </c>
      <c r="AN48" s="14">
        <f>VLOOKUP($AL48,$V45:$AD48,8,FALSE)</f>
        <v>-3</v>
      </c>
      <c r="AO48" s="14" t="str">
        <f>IF(AND($AM46=$AM48,$AN48&gt;$AN46),$AL46,$AL48)</f>
        <v>MARQUINHO</v>
      </c>
      <c r="AP48" s="14">
        <f>VLOOKUP($AO48,$V45:$AD48,9,FALSE)</f>
        <v>2</v>
      </c>
      <c r="AQ48" s="14">
        <f>VLOOKUP($AO48,$V45:$AD48,8,FALSE)</f>
        <v>-3</v>
      </c>
      <c r="AR48" s="14" t="str">
        <f>IF(AND($AP45=$AP48,$AQ48&gt;$AQ45),$AO45,$AO48)</f>
        <v>MARQUINHO</v>
      </c>
      <c r="AS48" s="14">
        <f>VLOOKUP($AR48,$V45:$AD48,9,FALSE)</f>
        <v>2</v>
      </c>
      <c r="AT48" s="14">
        <f>VLOOKUP($AR48,$V45:$AD48,8,FALSE)</f>
        <v>-3</v>
      </c>
      <c r="AU48" s="14">
        <f>VLOOKUP($AR48,$V45:$AD48,6,FALSE)</f>
        <v>1</v>
      </c>
      <c r="AV48" s="14" t="str">
        <f>IF(AND($AS47=$AS48,$AT47=$AT48,$AU48&gt;$AU47),$AR47,$AR48)</f>
        <v>MARQUINHO</v>
      </c>
      <c r="AW48" s="14">
        <f>VLOOKUP($AV48,$V45:$AD48,9,FALSE)</f>
        <v>2</v>
      </c>
      <c r="AX48" s="14">
        <f>VLOOKUP($AV48,$V45:$AD48,8,FALSE)</f>
        <v>-3</v>
      </c>
      <c r="AY48" s="14">
        <f>VLOOKUP($AV48,$V45:$AD48,6,FALSE)</f>
        <v>1</v>
      </c>
      <c r="AZ48" s="14" t="str">
        <f>IF(AND($AW46=$AW48,$AX46=$AX48,$AY48&gt;$AY46),$AV46,$AV48)</f>
        <v>MARQUINHO</v>
      </c>
      <c r="BA48" s="14">
        <f>VLOOKUP($AZ48,$V45:$AD48,9,FALSE)</f>
        <v>2</v>
      </c>
      <c r="BB48" s="14">
        <f>VLOOKUP($AZ48,$V45:$AD48,8,FALSE)</f>
        <v>-3</v>
      </c>
      <c r="BC48" s="14">
        <f>VLOOKUP($AZ48,$V45:$AD48,6,FALSE)</f>
        <v>1</v>
      </c>
      <c r="BD48" s="14" t="str">
        <f>IF(AND($BA45=$BA48,$BB45=$BB48,$BC48&gt;$BC45),$AZ45,$AZ48)</f>
        <v>MARQUINHO</v>
      </c>
      <c r="BE48" s="14">
        <f>VLOOKUP($BD48,$V45:$AD48,9,FALSE)</f>
        <v>2</v>
      </c>
      <c r="BF48" s="14">
        <f>VLOOKUP($BD48,$V45:$AD48,8,FALSE)</f>
        <v>-3</v>
      </c>
      <c r="BG48" s="14">
        <f>VLOOKUP($BD48,$V45:$AD48,6,FALSE)</f>
        <v>1</v>
      </c>
      <c r="BK48" s="14" t="str">
        <f>BD48</f>
        <v>MARQUINHO</v>
      </c>
      <c r="BL48" s="14">
        <f>VLOOKUP($BK48,$V45:$AD48,2,FALSE)</f>
        <v>3</v>
      </c>
      <c r="BM48" s="14">
        <f>VLOOKUP($BK48,$V45:$AD48,3,FALSE)</f>
        <v>0</v>
      </c>
      <c r="BN48" s="14">
        <f>VLOOKUP($BK48,$V45:$AD48,4,FALSE)</f>
        <v>1</v>
      </c>
      <c r="BO48" s="14">
        <f>VLOOKUP($BK48,$V45:$AD48,5,FALSE)</f>
        <v>2</v>
      </c>
      <c r="BP48" s="14">
        <f>VLOOKUP($BK48,$V45:$AD48,6,FALSE)</f>
        <v>1</v>
      </c>
      <c r="BQ48" s="14">
        <f>VLOOKUP($BK48,$V45:$AD48,7,FALSE)</f>
        <v>4</v>
      </c>
      <c r="BR48" s="14">
        <f>VLOOKUP($BK48,$V45:$AD48,8,FALSE)</f>
        <v>-3</v>
      </c>
      <c r="BS48" s="14">
        <f>VLOOKUP($BK48,$V45:$AD48,9,FALSE)</f>
        <v>2</v>
      </c>
    </row>
    <row r="49" spans="1:20" ht="13.5" customHeight="1" thickBot="1">
      <c r="A49" s="26">
        <v>21</v>
      </c>
      <c r="B49" s="33">
        <v>9</v>
      </c>
      <c r="C49" s="34" t="str">
        <f>'Chaves 2a.Fase'!A8</f>
        <v>RODRIGO B.</v>
      </c>
      <c r="D49" s="49">
        <v>1</v>
      </c>
      <c r="E49" s="48">
        <v>0</v>
      </c>
      <c r="F49" s="35" t="str">
        <f>'Chaves 2a.Fase'!A9</f>
        <v>MICHEL</v>
      </c>
      <c r="G49" s="36" t="str">
        <f>'Carnet 1a.Fase'!L63</f>
        <v>DANI</v>
      </c>
      <c r="H49" s="26"/>
      <c r="I49" s="14" t="str">
        <f t="shared" si="1"/>
        <v>RODRIGO B.</v>
      </c>
      <c r="J49" s="14" t="str">
        <f t="shared" si="2"/>
        <v>MICHEL</v>
      </c>
      <c r="L49" s="25" t="str">
        <f t="shared" si="8"/>
        <v>LEÃO</v>
      </c>
      <c r="M49" s="26">
        <f t="shared" si="8"/>
        <v>3</v>
      </c>
      <c r="N49" s="26">
        <f t="shared" si="8"/>
        <v>0</v>
      </c>
      <c r="O49" s="26">
        <f t="shared" si="8"/>
        <v>0</v>
      </c>
      <c r="P49" s="26">
        <f t="shared" si="8"/>
        <v>3</v>
      </c>
      <c r="Q49" s="26">
        <f t="shared" si="8"/>
        <v>0</v>
      </c>
      <c r="R49" s="26">
        <f t="shared" si="8"/>
        <v>0</v>
      </c>
      <c r="S49" s="26">
        <f t="shared" si="8"/>
        <v>0</v>
      </c>
      <c r="T49" s="27">
        <f t="shared" si="8"/>
        <v>3</v>
      </c>
    </row>
    <row r="50" spans="1:22" ht="13.5" customHeight="1" thickBot="1">
      <c r="A50" s="40">
        <v>21</v>
      </c>
      <c r="B50" s="41">
        <v>10</v>
      </c>
      <c r="C50" s="34" t="str">
        <f>'Chaves 2a.Fase'!A10</f>
        <v>JOSÉ</v>
      </c>
      <c r="D50" s="50">
        <v>0</v>
      </c>
      <c r="E50" s="51">
        <v>0</v>
      </c>
      <c r="F50" s="35" t="str">
        <f>'Chaves 2a.Fase'!A11</f>
        <v>PAIM</v>
      </c>
      <c r="G50" s="43" t="str">
        <f>'Carnet 1a.Fase'!L70</f>
        <v>KEVIN</v>
      </c>
      <c r="H50" s="40"/>
      <c r="I50" s="14" t="str">
        <f t="shared" si="1"/>
        <v>Draw</v>
      </c>
      <c r="J50" s="14" t="str">
        <f t="shared" si="2"/>
        <v>Draw</v>
      </c>
      <c r="L50" s="25" t="str">
        <f t="shared" si="8"/>
        <v>NILMAR</v>
      </c>
      <c r="M50" s="26">
        <f t="shared" si="8"/>
        <v>3</v>
      </c>
      <c r="N50" s="26">
        <f t="shared" si="8"/>
        <v>0</v>
      </c>
      <c r="O50" s="26">
        <f t="shared" si="8"/>
        <v>0</v>
      </c>
      <c r="P50" s="26">
        <f t="shared" si="8"/>
        <v>3</v>
      </c>
      <c r="Q50" s="26">
        <f t="shared" si="8"/>
        <v>0</v>
      </c>
      <c r="R50" s="26">
        <f t="shared" si="8"/>
        <v>0</v>
      </c>
      <c r="S50" s="26">
        <f t="shared" si="8"/>
        <v>0</v>
      </c>
      <c r="T50" s="27">
        <f t="shared" si="8"/>
        <v>3</v>
      </c>
      <c r="V50" s="14" t="s">
        <v>161</v>
      </c>
    </row>
    <row r="51" spans="1:30" ht="13.5" customHeight="1" thickBot="1">
      <c r="A51" s="26">
        <v>22</v>
      </c>
      <c r="B51" s="33">
        <v>11</v>
      </c>
      <c r="C51" s="34" t="str">
        <f>'Chaves 2a.Fase'!B8</f>
        <v>ELIAS</v>
      </c>
      <c r="D51" s="49">
        <v>1</v>
      </c>
      <c r="E51" s="48">
        <v>1</v>
      </c>
      <c r="F51" s="35" t="str">
        <f>'Chaves 2a.Fase'!B9</f>
        <v>MARQUINHO</v>
      </c>
      <c r="G51" s="36" t="str">
        <f>'Carnet 1a.Fase'!L77</f>
        <v>ROGÉRIO FEIJÓ</v>
      </c>
      <c r="H51" s="26"/>
      <c r="I51" s="14" t="str">
        <f t="shared" si="1"/>
        <v>Draw</v>
      </c>
      <c r="J51" s="14" t="str">
        <f t="shared" si="2"/>
        <v>Draw</v>
      </c>
      <c r="L51" s="37" t="str">
        <f t="shared" si="8"/>
        <v>OSMAR</v>
      </c>
      <c r="M51" s="38">
        <f t="shared" si="8"/>
        <v>3</v>
      </c>
      <c r="N51" s="38">
        <f t="shared" si="8"/>
        <v>0</v>
      </c>
      <c r="O51" s="38">
        <f t="shared" si="8"/>
        <v>1</v>
      </c>
      <c r="P51" s="38">
        <f t="shared" si="8"/>
        <v>2</v>
      </c>
      <c r="Q51" s="38">
        <f t="shared" si="8"/>
        <v>0</v>
      </c>
      <c r="R51" s="38">
        <f t="shared" si="8"/>
        <v>1</v>
      </c>
      <c r="S51" s="38">
        <f t="shared" si="8"/>
        <v>-1</v>
      </c>
      <c r="T51" s="39">
        <f t="shared" si="8"/>
        <v>2</v>
      </c>
      <c r="W51" s="14" t="s">
        <v>107</v>
      </c>
      <c r="X51" s="14" t="s">
        <v>108</v>
      </c>
      <c r="Y51" s="14" t="s">
        <v>109</v>
      </c>
      <c r="Z51" s="14" t="s">
        <v>85</v>
      </c>
      <c r="AA51" s="14" t="s">
        <v>110</v>
      </c>
      <c r="AB51" s="14" t="s">
        <v>111</v>
      </c>
      <c r="AC51" s="14" t="s">
        <v>112</v>
      </c>
      <c r="AD51" s="14" t="s">
        <v>113</v>
      </c>
    </row>
    <row r="52" spans="1:71" ht="13.5" customHeight="1" thickBot="1">
      <c r="A52" s="26">
        <v>22</v>
      </c>
      <c r="B52" s="33">
        <v>12</v>
      </c>
      <c r="C52" s="34" t="str">
        <f>'Chaves 2a.Fase'!B10</f>
        <v>LEANDRINHO</v>
      </c>
      <c r="D52" s="50">
        <v>0</v>
      </c>
      <c r="E52" s="51">
        <v>0</v>
      </c>
      <c r="F52" s="35" t="str">
        <f>'Chaves 2a.Fase'!B11</f>
        <v>ROBSON</v>
      </c>
      <c r="G52" s="36" t="str">
        <f>'Carnet 1a.Fase'!L84</f>
        <v>LEANDRO</v>
      </c>
      <c r="H52" s="26"/>
      <c r="I52" s="14" t="str">
        <f t="shared" si="1"/>
        <v>Draw</v>
      </c>
      <c r="J52" s="14" t="str">
        <f t="shared" si="2"/>
        <v>Draw</v>
      </c>
      <c r="V52" s="14" t="str">
        <f>'Chaves 2a.Fase'!C8</f>
        <v>LEÃO</v>
      </c>
      <c r="W52" s="14">
        <f>COUNT(POLONIA_JOGOS)</f>
        <v>3</v>
      </c>
      <c r="X52" s="14">
        <f>COUNTIF(Groupstage_Winner,'Chaves 2a.Fase'!C8)</f>
        <v>0</v>
      </c>
      <c r="Y52" s="14">
        <f>COUNTIF(Groupstage_Loser,'Chaves 2a.Fase'!C8)</f>
        <v>0</v>
      </c>
      <c r="Z52" s="14">
        <f>W52-(X52+Y52)</f>
        <v>3</v>
      </c>
      <c r="AA52" s="14">
        <f>SUM(POLONIA_JOGOS)</f>
        <v>0</v>
      </c>
      <c r="AB52" s="14">
        <f>SUM(POLONIA_ADV)</f>
        <v>0</v>
      </c>
      <c r="AC52" s="14">
        <f>AA52-AB52</f>
        <v>0</v>
      </c>
      <c r="AD52" s="14">
        <f>X52*Winpoints+Z52*Drawpoints</f>
        <v>3</v>
      </c>
      <c r="AE52" s="14" t="str">
        <f>IF($AD52&gt;=$AD53,$V52,$V53)</f>
        <v>ALESSANDRO</v>
      </c>
      <c r="AF52" s="14">
        <f>VLOOKUP($AE52,$V52:$AD55,9,FALSE)</f>
        <v>5</v>
      </c>
      <c r="AG52" s="14" t="str">
        <f>IF($AF52&gt;=$AF54,$AE52,$AE54)</f>
        <v>ALESSANDRO</v>
      </c>
      <c r="AH52" s="14">
        <f>VLOOKUP($AG52,$V52:$AD55,9,FALSE)</f>
        <v>5</v>
      </c>
      <c r="AI52" s="14" t="str">
        <f>IF($AH52&gt;=$AH55,$AG52,$AG55)</f>
        <v>ALESSANDRO</v>
      </c>
      <c r="AJ52" s="14">
        <f>VLOOKUP($AI52,$V52:$AD55,9,FALSE)</f>
        <v>5</v>
      </c>
      <c r="AK52" s="14">
        <f>VLOOKUP($AI52,$V52:$AD55,8,FALSE)</f>
        <v>1</v>
      </c>
      <c r="AL52" s="14" t="str">
        <f>IF(AND($AJ52=$AJ53,$AK53&gt;$AK52),$AI53,$AI52)</f>
        <v>ALESSANDRO</v>
      </c>
      <c r="AM52" s="14">
        <f>VLOOKUP($AL52,$V52:$AD55,9,FALSE)</f>
        <v>5</v>
      </c>
      <c r="AN52" s="14">
        <f>VLOOKUP($AL52,$V52:$AD55,8,FALSE)</f>
        <v>1</v>
      </c>
      <c r="AO52" s="14" t="str">
        <f>IF(AND($AM52=$AM54,$AN54&gt;$AN52),$AL54,$AL52)</f>
        <v>ALESSANDRO</v>
      </c>
      <c r="AP52" s="14">
        <f>VLOOKUP($AO52,$V52:$AD55,9,FALSE)</f>
        <v>5</v>
      </c>
      <c r="AQ52" s="14">
        <f>VLOOKUP($AO52,$V52:$AD55,8,FALSE)</f>
        <v>1</v>
      </c>
      <c r="AR52" s="14" t="str">
        <f>IF(AND($AP52=$AP55,$AQ55&gt;$AQ52),$AO55,$AO52)</f>
        <v>ALESSANDRO</v>
      </c>
      <c r="AS52" s="14">
        <f>VLOOKUP($AR52,$V52:$AD55,9,FALSE)</f>
        <v>5</v>
      </c>
      <c r="AT52" s="14">
        <f>VLOOKUP($AR52,$V52:$AD55,8,FALSE)</f>
        <v>1</v>
      </c>
      <c r="AU52" s="14">
        <f>VLOOKUP($AR52,$V52:$AD55,6,FALSE)</f>
        <v>1</v>
      </c>
      <c r="AV52" s="14" t="str">
        <f>IF(AND($AS52=$AS53,$AT52=$AT53,$AU53&gt;$AU52),$AR53,$AR52)</f>
        <v>ALESSANDRO</v>
      </c>
      <c r="AW52" s="14">
        <f>VLOOKUP($AV52,$V52:$AD55,9,FALSE)</f>
        <v>5</v>
      </c>
      <c r="AX52" s="14">
        <f>VLOOKUP($AV52,$V52:$AD55,8,FALSE)</f>
        <v>1</v>
      </c>
      <c r="AY52" s="14">
        <f>VLOOKUP($AV52,$V52:$AD55,6,FALSE)</f>
        <v>1</v>
      </c>
      <c r="AZ52" s="14" t="str">
        <f>IF(AND($AW52=$AW54,$AX52=$AX54,$AY54&gt;$AY52),$AV54,$AV52)</f>
        <v>ALESSANDRO</v>
      </c>
      <c r="BA52" s="14">
        <f>VLOOKUP($AZ52,$V52:$AD55,9,FALSE)</f>
        <v>5</v>
      </c>
      <c r="BB52" s="14">
        <f>VLOOKUP($AZ52,$V52:$AD55,8,FALSE)</f>
        <v>1</v>
      </c>
      <c r="BC52" s="14">
        <f>VLOOKUP($AZ52,$V52:$AD55,6,FALSE)</f>
        <v>1</v>
      </c>
      <c r="BD52" s="14" t="str">
        <f>IF(AND($BA52=$BA55,$BB52=$BB55,$BC55&gt;$BC52),$AZ55,$AZ52)</f>
        <v>ALESSANDRO</v>
      </c>
      <c r="BE52" s="14">
        <f>VLOOKUP($BD52,$V52:$AD55,9,FALSE)</f>
        <v>5</v>
      </c>
      <c r="BF52" s="14">
        <f>VLOOKUP($BD52,$V52:$AD55,8,FALSE)</f>
        <v>1</v>
      </c>
      <c r="BG52" s="14">
        <f>VLOOKUP($BD52,$V52:$AD55,6,FALSE)</f>
        <v>1</v>
      </c>
      <c r="BK52" s="14" t="str">
        <f>BD52</f>
        <v>ALESSANDRO</v>
      </c>
      <c r="BL52" s="14">
        <f>VLOOKUP($BK52,$V52:$AD55,2,FALSE)</f>
        <v>3</v>
      </c>
      <c r="BM52" s="14">
        <f>VLOOKUP($BK52,$V52:$AD55,3,FALSE)</f>
        <v>1</v>
      </c>
      <c r="BN52" s="14">
        <f>VLOOKUP($BK52,$V52:$AD55,4,FALSE)</f>
        <v>0</v>
      </c>
      <c r="BO52" s="14">
        <f>VLOOKUP($BK52,$V52:$AD55,5,FALSE)</f>
        <v>2</v>
      </c>
      <c r="BP52" s="14">
        <f>VLOOKUP($BK52,$V52:$AD55,6,FALSE)</f>
        <v>1</v>
      </c>
      <c r="BQ52" s="14">
        <f>VLOOKUP($BK52,$V52:$AD55,7,FALSE)</f>
        <v>0</v>
      </c>
      <c r="BR52" s="14">
        <f>VLOOKUP($BK52,$V52:$AD55,8,FALSE)</f>
        <v>1</v>
      </c>
      <c r="BS52" s="14">
        <f>VLOOKUP($BK52,$V52:$AD55,9,FALSE)</f>
        <v>5</v>
      </c>
    </row>
    <row r="53" spans="1:71" ht="13.5" customHeight="1" thickBot="1">
      <c r="A53" s="26">
        <v>23</v>
      </c>
      <c r="B53" s="33">
        <v>13</v>
      </c>
      <c r="C53" s="42" t="str">
        <f>'Chaves 2a.Fase'!C8</f>
        <v>LEÃO</v>
      </c>
      <c r="D53" s="49">
        <v>0</v>
      </c>
      <c r="E53" s="48">
        <v>0</v>
      </c>
      <c r="F53" s="43" t="str">
        <f>'Chaves 2a.Fase'!C9</f>
        <v>ALESSANDRO</v>
      </c>
      <c r="G53" s="36" t="str">
        <f>'Carnet 1a.Fase'!L91</f>
        <v>EDISON</v>
      </c>
      <c r="H53" s="26"/>
      <c r="I53" s="14" t="str">
        <f t="shared" si="1"/>
        <v>Draw</v>
      </c>
      <c r="J53" s="14" t="str">
        <f t="shared" si="2"/>
        <v>Draw</v>
      </c>
      <c r="L53" s="19" t="s">
        <v>162</v>
      </c>
      <c r="M53" s="20"/>
      <c r="N53" s="20"/>
      <c r="O53" s="20"/>
      <c r="P53" s="20"/>
      <c r="Q53" s="20"/>
      <c r="R53" s="20"/>
      <c r="S53" s="20"/>
      <c r="T53" s="21"/>
      <c r="V53" s="14" t="str">
        <f>'Chaves 2a.Fase'!C9</f>
        <v>ALESSANDRO</v>
      </c>
      <c r="W53" s="14">
        <f>COUNT(BULGARIA_JOGOS)</f>
        <v>3</v>
      </c>
      <c r="X53" s="14">
        <f>COUNTIF(Groupstage_Winner,'Chaves 2a.Fase'!C9)</f>
        <v>1</v>
      </c>
      <c r="Y53" s="14">
        <f>COUNTIF(Groupstage_Loser,'Chaves 2a.Fase'!C9)</f>
        <v>0</v>
      </c>
      <c r="Z53" s="14">
        <f>W53-(X53+Y53)</f>
        <v>2</v>
      </c>
      <c r="AA53" s="14">
        <f>SUM(BULGARIA_JOGOS)</f>
        <v>1</v>
      </c>
      <c r="AB53" s="14">
        <f>SUM(BULGARIA_ADV)</f>
        <v>0</v>
      </c>
      <c r="AC53" s="14">
        <f>AA53-AB53</f>
        <v>1</v>
      </c>
      <c r="AD53" s="14">
        <f>X53*Winpoints+Z53*Drawpoints</f>
        <v>5</v>
      </c>
      <c r="AE53" s="14" t="str">
        <f>IF($AD53&lt;=$AD52,$V53,$V52)</f>
        <v>LEÃO</v>
      </c>
      <c r="AF53" s="14">
        <f>VLOOKUP($AE53,$V52:$AD55,9,FALSE)</f>
        <v>3</v>
      </c>
      <c r="AG53" s="14" t="str">
        <f>IF(AF53&gt;=AF55,AE53,AE55)</f>
        <v>LEÃO</v>
      </c>
      <c r="AH53" s="14">
        <f>VLOOKUP($AG53,$V52:$AD55,9,FALSE)</f>
        <v>3</v>
      </c>
      <c r="AI53" s="14" t="str">
        <f>IF($AH53&gt;=$AH54,$AG53,$AG54)</f>
        <v>LEÃO</v>
      </c>
      <c r="AJ53" s="14">
        <f>VLOOKUP($AI53,$V52:$AD55,9,FALSE)</f>
        <v>3</v>
      </c>
      <c r="AK53" s="14">
        <f>VLOOKUP($AI53,$V52:$AD55,8,FALSE)</f>
        <v>0</v>
      </c>
      <c r="AL53" s="14" t="str">
        <f>IF(AND($AJ52=$AJ53,$AK53&gt;$AK52),$AI52,$AI53)</f>
        <v>LEÃO</v>
      </c>
      <c r="AM53" s="14">
        <f>VLOOKUP($AL53,$V52:$AD55,9,FALSE)</f>
        <v>3</v>
      </c>
      <c r="AN53" s="14">
        <f>VLOOKUP($AL53,$V52:$AD55,8,FALSE)</f>
        <v>0</v>
      </c>
      <c r="AO53" s="14" t="str">
        <f>IF(AND($AM53=$AM55,$AN55&gt;$AN53),$AL55,$AL53)</f>
        <v>LEÃO</v>
      </c>
      <c r="AP53" s="14">
        <f>VLOOKUP($AO53,$V52:$AD55,9,FALSE)</f>
        <v>3</v>
      </c>
      <c r="AQ53" s="14">
        <f>VLOOKUP($AO53,$V52:$AD55,8,FALSE)</f>
        <v>0</v>
      </c>
      <c r="AR53" s="14" t="str">
        <f>IF(AND($AP53=$AP54,$AQ54&gt;$AQ53),$AO54,$AO53)</f>
        <v>LEÃO</v>
      </c>
      <c r="AS53" s="14">
        <f>VLOOKUP($AR53,$V52:$AD55,9,FALSE)</f>
        <v>3</v>
      </c>
      <c r="AT53" s="14">
        <f>VLOOKUP($AR53,$V52:$AD55,8,FALSE)</f>
        <v>0</v>
      </c>
      <c r="AU53" s="14">
        <f>VLOOKUP($AR53,$V52:$AD55,6,FALSE)</f>
        <v>0</v>
      </c>
      <c r="AV53" s="14" t="str">
        <f>IF(AND($AS52=$AS53,$AT52=$AT53,$AU53&gt;$AU52),$AR52,$AR53)</f>
        <v>LEÃO</v>
      </c>
      <c r="AW53" s="14">
        <f>VLOOKUP($AV53,$V52:$AD55,9,FALSE)</f>
        <v>3</v>
      </c>
      <c r="AX53" s="14">
        <f>VLOOKUP($AV53,$V52:$AD55,8,FALSE)</f>
        <v>0</v>
      </c>
      <c r="AY53" s="14">
        <f>VLOOKUP($AV53,$V52:$AD55,6,FALSE)</f>
        <v>0</v>
      </c>
      <c r="AZ53" s="14" t="str">
        <f>IF(AND($AW53=$AW55,$AX53=$AX55,$AY55&gt;$AY53),$AV55,$AV53)</f>
        <v>LEÃO</v>
      </c>
      <c r="BA53" s="14">
        <f>VLOOKUP($AZ53,$V52:$AD55,9,FALSE)</f>
        <v>3</v>
      </c>
      <c r="BB53" s="14">
        <f>VLOOKUP($AZ53,$V52:$AD55,8,FALSE)</f>
        <v>0</v>
      </c>
      <c r="BC53" s="14">
        <f>VLOOKUP($AZ53,$V52:$AD55,6,FALSE)</f>
        <v>0</v>
      </c>
      <c r="BD53" s="14" t="str">
        <f>IF(AND($BA53=$BA54,$BB53=$BB54,$BC54&gt;$BC53),$AZ54,$AZ53)</f>
        <v>LEÃO</v>
      </c>
      <c r="BE53" s="14">
        <f>VLOOKUP($BD53,$V52:$AD55,9,FALSE)</f>
        <v>3</v>
      </c>
      <c r="BF53" s="14">
        <f>VLOOKUP($BD53,$V52:$AD55,8,FALSE)</f>
        <v>0</v>
      </c>
      <c r="BG53" s="14">
        <f>VLOOKUP($BD53,$V52:$AD55,6,FALSE)</f>
        <v>0</v>
      </c>
      <c r="BK53" s="14" t="str">
        <f>BD53</f>
        <v>LEÃO</v>
      </c>
      <c r="BL53" s="14">
        <f>VLOOKUP($BK53,$V52:$AD55,2,FALSE)</f>
        <v>3</v>
      </c>
      <c r="BM53" s="14">
        <f>VLOOKUP($BK53,$V52:$AD55,3,FALSE)</f>
        <v>0</v>
      </c>
      <c r="BN53" s="14">
        <f>VLOOKUP($BK53,$V52:$AD55,4,FALSE)</f>
        <v>0</v>
      </c>
      <c r="BO53" s="14">
        <f>VLOOKUP($BK53,$V52:$AD55,5,FALSE)</f>
        <v>3</v>
      </c>
      <c r="BP53" s="14">
        <f>VLOOKUP($BK53,$V52:$AD55,6,FALSE)</f>
        <v>0</v>
      </c>
      <c r="BQ53" s="14">
        <f>VLOOKUP($BK53,$V52:$AD55,7,FALSE)</f>
        <v>0</v>
      </c>
      <c r="BR53" s="14">
        <f>VLOOKUP($BK53,$V52:$AD55,8,FALSE)</f>
        <v>0</v>
      </c>
      <c r="BS53" s="14">
        <f>VLOOKUP($BK53,$V52:$AD55,9,FALSE)</f>
        <v>3</v>
      </c>
    </row>
    <row r="54" spans="1:71" ht="13.5" customHeight="1" thickBot="1">
      <c r="A54" s="26">
        <v>23</v>
      </c>
      <c r="B54" s="33">
        <v>14</v>
      </c>
      <c r="C54" s="34" t="str">
        <f>'Chaves 2a.Fase'!C10</f>
        <v>OSMAR</v>
      </c>
      <c r="D54" s="50">
        <v>0</v>
      </c>
      <c r="E54" s="51">
        <v>0</v>
      </c>
      <c r="F54" s="35" t="str">
        <f>'Chaves 2a.Fase'!C11</f>
        <v>NILMAR</v>
      </c>
      <c r="G54" s="36" t="str">
        <f>'Carnet 1a.Fase'!L98</f>
        <v>SANDRO</v>
      </c>
      <c r="H54" s="26"/>
      <c r="I54" s="14" t="str">
        <f t="shared" si="1"/>
        <v>Draw</v>
      </c>
      <c r="J54" s="14" t="str">
        <f t="shared" si="2"/>
        <v>Draw</v>
      </c>
      <c r="L54" s="22"/>
      <c r="M54" s="23" t="s">
        <v>83</v>
      </c>
      <c r="N54" s="23" t="s">
        <v>84</v>
      </c>
      <c r="O54" s="23" t="s">
        <v>85</v>
      </c>
      <c r="P54" s="23" t="s">
        <v>86</v>
      </c>
      <c r="Q54" s="23" t="s">
        <v>87</v>
      </c>
      <c r="R54" s="23" t="s">
        <v>88</v>
      </c>
      <c r="S54" s="23" t="s">
        <v>89</v>
      </c>
      <c r="T54" s="24" t="s">
        <v>90</v>
      </c>
      <c r="V54" s="14" t="str">
        <f>'Chaves 2a.Fase'!C10</f>
        <v>OSMAR</v>
      </c>
      <c r="W54" s="14">
        <f>COUNT(TURQUIA_JOGOS)</f>
        <v>3</v>
      </c>
      <c r="X54" s="14">
        <f>COUNTIF(Groupstage_Winner,'Chaves 2a.Fase'!C10)</f>
        <v>0</v>
      </c>
      <c r="Y54" s="14">
        <f>COUNTIF(Groupstage_Loser,'Chaves 2a.Fase'!C10)</f>
        <v>1</v>
      </c>
      <c r="Z54" s="14">
        <f>W54-(X54+Y54)</f>
        <v>2</v>
      </c>
      <c r="AA54" s="14">
        <f>SUM(TURQUIA_JOGOS)</f>
        <v>0</v>
      </c>
      <c r="AB54" s="14">
        <f>SUM(TURQUIA_ADV)</f>
        <v>1</v>
      </c>
      <c r="AC54" s="14">
        <f>AA54-AB54</f>
        <v>-1</v>
      </c>
      <c r="AD54" s="14">
        <f>X54*Winpoints+Z54*Drawpoints</f>
        <v>2</v>
      </c>
      <c r="AE54" s="14" t="str">
        <f>IF($AD54&gt;=$AD55,$V54,$V55)</f>
        <v>NILMAR</v>
      </c>
      <c r="AF54" s="14">
        <f>VLOOKUP($AE54,$V52:$AD55,9,FALSE)</f>
        <v>3</v>
      </c>
      <c r="AG54" s="14" t="str">
        <f>IF($AF54&lt;=$AF52,$AE54,$AE52)</f>
        <v>NILMAR</v>
      </c>
      <c r="AH54" s="14">
        <f>VLOOKUP($AG54,$V52:$AD55,9,FALSE)</f>
        <v>3</v>
      </c>
      <c r="AI54" s="14" t="str">
        <f>IF($AH54&lt;=$AH53,$AG54,$AG53)</f>
        <v>NILMAR</v>
      </c>
      <c r="AJ54" s="14">
        <f>VLOOKUP($AI54,$V52:$AD55,9,FALSE)</f>
        <v>3</v>
      </c>
      <c r="AK54" s="14">
        <f>VLOOKUP($AI54,$V52:$AD55,8,FALSE)</f>
        <v>0</v>
      </c>
      <c r="AL54" s="14" t="str">
        <f>IF(AND($AJ54=$AJ55,$AK55&gt;$AK54),$AI55,$AI54)</f>
        <v>NILMAR</v>
      </c>
      <c r="AM54" s="14">
        <f>VLOOKUP($AL54,$V52:$AD55,9,FALSE)</f>
        <v>3</v>
      </c>
      <c r="AN54" s="14">
        <f>VLOOKUP($AL54,$V52:$AD55,8,FALSE)</f>
        <v>0</v>
      </c>
      <c r="AO54" s="14" t="str">
        <f>IF(AND($AM52=$AM54,$AN54&gt;$AN52),$AL52,$AL54)</f>
        <v>NILMAR</v>
      </c>
      <c r="AP54" s="14">
        <f>VLOOKUP($AO54,$V52:$AD55,9,FALSE)</f>
        <v>3</v>
      </c>
      <c r="AQ54" s="14">
        <f>VLOOKUP($AO54,$V52:$AD55,8,FALSE)</f>
        <v>0</v>
      </c>
      <c r="AR54" s="14" t="str">
        <f>IF(AND($AP53=$AP54,$AQ54&gt;$AQ53),$AO53,$AO54)</f>
        <v>NILMAR</v>
      </c>
      <c r="AS54" s="14">
        <f>VLOOKUP($AR54,$V52:$AD55,9,FALSE)</f>
        <v>3</v>
      </c>
      <c r="AT54" s="14">
        <f>VLOOKUP($AR54,$V52:$AD55,8,FALSE)</f>
        <v>0</v>
      </c>
      <c r="AU54" s="14">
        <f>VLOOKUP($AR54,$V52:$AD55,6,FALSE)</f>
        <v>0</v>
      </c>
      <c r="AV54" s="14" t="str">
        <f>IF(AND($AS54=$AS55,$AT54=$AT55,$AU55&gt;$AU54),$AR55,$AR54)</f>
        <v>NILMAR</v>
      </c>
      <c r="AW54" s="14">
        <f>VLOOKUP($AV54,$V52:$AD55,9,FALSE)</f>
        <v>3</v>
      </c>
      <c r="AX54" s="14">
        <f>VLOOKUP($AV54,$V52:$AD55,8,FALSE)</f>
        <v>0</v>
      </c>
      <c r="AY54" s="14">
        <f>VLOOKUP($AV54,$V52:$AD55,6,FALSE)</f>
        <v>0</v>
      </c>
      <c r="AZ54" s="14" t="str">
        <f>IF(AND($AW52=$AW54,$AX52=$AX54,$AY54&gt;$AY52),$AV52,$AV54)</f>
        <v>NILMAR</v>
      </c>
      <c r="BA54" s="14">
        <f>VLOOKUP($AZ54,$V52:$AD55,9,FALSE)</f>
        <v>3</v>
      </c>
      <c r="BB54" s="14">
        <f>VLOOKUP($AZ54,$V52:$AD55,8,FALSE)</f>
        <v>0</v>
      </c>
      <c r="BC54" s="14">
        <f>VLOOKUP($AZ54,$V52:$AD55,6,FALSE)</f>
        <v>0</v>
      </c>
      <c r="BD54" s="14" t="str">
        <f>IF(AND($BA53=$BA54,$BB53=$BB54,$BC54&gt;$BC53),$AZ53,$AZ54)</f>
        <v>NILMAR</v>
      </c>
      <c r="BE54" s="14">
        <f>VLOOKUP($BD54,$V52:$AD55,9,FALSE)</f>
        <v>3</v>
      </c>
      <c r="BF54" s="14">
        <f>VLOOKUP($BD54,$V52:$AD55,8,FALSE)</f>
        <v>0</v>
      </c>
      <c r="BG54" s="14">
        <f>VLOOKUP($BD54,$V52:$AD55,6,FALSE)</f>
        <v>0</v>
      </c>
      <c r="BK54" s="14" t="str">
        <f>BD54</f>
        <v>NILMAR</v>
      </c>
      <c r="BL54" s="14">
        <f>VLOOKUP($BK54,$V52:$AD55,2,FALSE)</f>
        <v>3</v>
      </c>
      <c r="BM54" s="14">
        <f>VLOOKUP($BK54,$V52:$AD55,3,FALSE)</f>
        <v>0</v>
      </c>
      <c r="BN54" s="14">
        <f>VLOOKUP($BK54,$V52:$AD55,4,FALSE)</f>
        <v>0</v>
      </c>
      <c r="BO54" s="14">
        <f>VLOOKUP($BK54,$V52:$AD55,5,FALSE)</f>
        <v>3</v>
      </c>
      <c r="BP54" s="14">
        <f>VLOOKUP($BK54,$V52:$AD55,6,FALSE)</f>
        <v>0</v>
      </c>
      <c r="BQ54" s="14">
        <f>VLOOKUP($BK54,$V52:$AD55,7,FALSE)</f>
        <v>0</v>
      </c>
      <c r="BR54" s="14">
        <f>VLOOKUP($BK54,$V52:$AD55,8,FALSE)</f>
        <v>0</v>
      </c>
      <c r="BS54" s="14">
        <f>VLOOKUP($BK54,$V52:$AD55,9,FALSE)</f>
        <v>3</v>
      </c>
    </row>
    <row r="55" spans="1:71" ht="13.5" customHeight="1" thickBot="1">
      <c r="A55" s="26">
        <v>24</v>
      </c>
      <c r="B55" s="33">
        <v>15</v>
      </c>
      <c r="C55" s="34" t="str">
        <f>'Chaves 2a.Fase'!D8</f>
        <v>ALDIR</v>
      </c>
      <c r="D55" s="49">
        <v>2</v>
      </c>
      <c r="E55" s="48">
        <v>0</v>
      </c>
      <c r="F55" s="35" t="str">
        <f>'Chaves 2a.Fase'!D9</f>
        <v>DIOGO MALLET</v>
      </c>
      <c r="G55" s="36" t="str">
        <f>'Carnet 1a.Fase'!L105</f>
        <v>MATEUS</v>
      </c>
      <c r="H55" s="26"/>
      <c r="I55" s="14" t="str">
        <f t="shared" si="1"/>
        <v>ALDIR</v>
      </c>
      <c r="J55" s="14" t="str">
        <f t="shared" si="2"/>
        <v>DIOGO MALLET</v>
      </c>
      <c r="L55" s="25" t="str">
        <f aca="true" t="shared" si="9" ref="L55:T58">BK59</f>
        <v>SILVIO</v>
      </c>
      <c r="M55" s="26">
        <f t="shared" si="9"/>
        <v>3</v>
      </c>
      <c r="N55" s="26">
        <f t="shared" si="9"/>
        <v>2</v>
      </c>
      <c r="O55" s="26">
        <f t="shared" si="9"/>
        <v>0</v>
      </c>
      <c r="P55" s="26">
        <f t="shared" si="9"/>
        <v>1</v>
      </c>
      <c r="Q55" s="26">
        <f t="shared" si="9"/>
        <v>4</v>
      </c>
      <c r="R55" s="26">
        <f t="shared" si="9"/>
        <v>1</v>
      </c>
      <c r="S55" s="26">
        <f t="shared" si="9"/>
        <v>3</v>
      </c>
      <c r="T55" s="27">
        <f t="shared" si="9"/>
        <v>7</v>
      </c>
      <c r="V55" s="14" t="str">
        <f>'Chaves 2a.Fase'!C11</f>
        <v>NILMAR</v>
      </c>
      <c r="W55" s="14">
        <f>COUNT(GRECIA_JOGOS)</f>
        <v>3</v>
      </c>
      <c r="X55" s="14">
        <f>COUNTIF(Groupstage_Winner,'Chaves 2a.Fase'!C11)</f>
        <v>0</v>
      </c>
      <c r="Y55" s="14">
        <f>COUNTIF(Groupstage_Loser,'Chaves 2a.Fase'!C11)</f>
        <v>0</v>
      </c>
      <c r="Z55" s="14">
        <f>W55-(X55+Y55)</f>
        <v>3</v>
      </c>
      <c r="AA55" s="14">
        <f>SUM(GRECIA_JOGOS)</f>
        <v>0</v>
      </c>
      <c r="AB55" s="14">
        <f>SUM(GRECIA_ADV)</f>
        <v>0</v>
      </c>
      <c r="AC55" s="14">
        <f>AA55-AB55</f>
        <v>0</v>
      </c>
      <c r="AD55" s="14">
        <f>X55*Winpoints+Z55*Drawpoints</f>
        <v>3</v>
      </c>
      <c r="AE55" s="14" t="str">
        <f>IF($AD55&lt;=$AD54,$V55,$V54)</f>
        <v>OSMAR</v>
      </c>
      <c r="AF55" s="14">
        <f>VLOOKUP($AE55,$V52:$AD55,9,FALSE)</f>
        <v>2</v>
      </c>
      <c r="AG55" s="14" t="str">
        <f>IF(AF55&lt;=AF53,AE55,AE53)</f>
        <v>OSMAR</v>
      </c>
      <c r="AH55" s="14">
        <f>VLOOKUP($AG55,$V52:$AD55,9,FALSE)</f>
        <v>2</v>
      </c>
      <c r="AI55" s="14" t="str">
        <f>IF($AH55&lt;=$AH52,$AG55,$AG52)</f>
        <v>OSMAR</v>
      </c>
      <c r="AJ55" s="14">
        <f>VLOOKUP($AI55,$V52:$AD55,9,FALSE)</f>
        <v>2</v>
      </c>
      <c r="AK55" s="14">
        <f>VLOOKUP($AI55,$V52:$AD55,8,FALSE)</f>
        <v>-1</v>
      </c>
      <c r="AL55" s="14" t="str">
        <f>IF(AND($AJ54=$AJ55,$AK55&gt;$AK54),$AI54,$AI55)</f>
        <v>OSMAR</v>
      </c>
      <c r="AM55" s="14">
        <f>VLOOKUP($AL55,$V52:$AD55,9,FALSE)</f>
        <v>2</v>
      </c>
      <c r="AN55" s="14">
        <f>VLOOKUP($AL55,$V52:$AD55,8,FALSE)</f>
        <v>-1</v>
      </c>
      <c r="AO55" s="14" t="str">
        <f>IF(AND($AM53=$AM55,$AN55&gt;$AN53),$AL53,$AL55)</f>
        <v>OSMAR</v>
      </c>
      <c r="AP55" s="14">
        <f>VLOOKUP($AO55,$V52:$AD55,9,FALSE)</f>
        <v>2</v>
      </c>
      <c r="AQ55" s="14">
        <f>VLOOKUP($AO55,$V52:$AD55,8,FALSE)</f>
        <v>-1</v>
      </c>
      <c r="AR55" s="14" t="str">
        <f>IF(AND($AP52=$AP55,$AQ55&gt;$AQ52),$AO52,$AO55)</f>
        <v>OSMAR</v>
      </c>
      <c r="AS55" s="14">
        <f>VLOOKUP($AR55,$V52:$AD55,9,FALSE)</f>
        <v>2</v>
      </c>
      <c r="AT55" s="14">
        <f>VLOOKUP($AR55,$V52:$AD55,8,FALSE)</f>
        <v>-1</v>
      </c>
      <c r="AU55" s="14">
        <f>VLOOKUP($AR55,$V52:$AD55,6,FALSE)</f>
        <v>0</v>
      </c>
      <c r="AV55" s="14" t="str">
        <f>IF(AND($AS54=$AS55,$AT54=$AT55,$AU55&gt;$AU54),$AR54,$AR55)</f>
        <v>OSMAR</v>
      </c>
      <c r="AW55" s="14">
        <f>VLOOKUP($AV55,$V52:$AD55,9,FALSE)</f>
        <v>2</v>
      </c>
      <c r="AX55" s="14">
        <f>VLOOKUP($AV55,$V52:$AD55,8,FALSE)</f>
        <v>-1</v>
      </c>
      <c r="AY55" s="14">
        <f>VLOOKUP($AV55,$V52:$AD55,6,FALSE)</f>
        <v>0</v>
      </c>
      <c r="AZ55" s="14" t="str">
        <f>IF(AND($AW53=$AW55,$AX53=$AX55,$AY55&gt;$AY53),$AV53,$AV55)</f>
        <v>OSMAR</v>
      </c>
      <c r="BA55" s="14">
        <f>VLOOKUP($AZ55,$V52:$AD55,9,FALSE)</f>
        <v>2</v>
      </c>
      <c r="BB55" s="14">
        <f>VLOOKUP($AZ55,$V52:$AD55,8,FALSE)</f>
        <v>-1</v>
      </c>
      <c r="BC55" s="14">
        <f>VLOOKUP($AZ55,$V52:$AD55,6,FALSE)</f>
        <v>0</v>
      </c>
      <c r="BD55" s="14" t="str">
        <f>IF(AND($BA52=$BA55,$BB52=$BB55,$BC55&gt;$BC52),$AZ52,$AZ55)</f>
        <v>OSMAR</v>
      </c>
      <c r="BE55" s="14">
        <f>VLOOKUP($BD55,$V52:$AD55,9,FALSE)</f>
        <v>2</v>
      </c>
      <c r="BF55" s="14">
        <f>VLOOKUP($BD55,$V52:$AD55,8,FALSE)</f>
        <v>-1</v>
      </c>
      <c r="BG55" s="14">
        <f>VLOOKUP($BD55,$V52:$AD55,6,FALSE)</f>
        <v>0</v>
      </c>
      <c r="BK55" s="14" t="str">
        <f>BD55</f>
        <v>OSMAR</v>
      </c>
      <c r="BL55" s="14">
        <f>VLOOKUP($BK55,$V52:$AD55,2,FALSE)</f>
        <v>3</v>
      </c>
      <c r="BM55" s="14">
        <f>VLOOKUP($BK55,$V52:$AD55,3,FALSE)</f>
        <v>0</v>
      </c>
      <c r="BN55" s="14">
        <f>VLOOKUP($BK55,$V52:$AD55,4,FALSE)</f>
        <v>1</v>
      </c>
      <c r="BO55" s="14">
        <f>VLOOKUP($BK55,$V52:$AD55,5,FALSE)</f>
        <v>2</v>
      </c>
      <c r="BP55" s="14">
        <f>VLOOKUP($BK55,$V52:$AD55,6,FALSE)</f>
        <v>0</v>
      </c>
      <c r="BQ55" s="14">
        <f>VLOOKUP($BK55,$V52:$AD55,7,FALSE)</f>
        <v>1</v>
      </c>
      <c r="BR55" s="14">
        <f>VLOOKUP($BK55,$V52:$AD55,8,FALSE)</f>
        <v>-1</v>
      </c>
      <c r="BS55" s="14">
        <f>VLOOKUP($BK55,$V52:$AD55,9,FALSE)</f>
        <v>2</v>
      </c>
    </row>
    <row r="56" spans="1:20" ht="13.5" customHeight="1" thickBot="1">
      <c r="A56" s="26">
        <v>24</v>
      </c>
      <c r="B56" s="33">
        <v>16</v>
      </c>
      <c r="C56" s="34" t="str">
        <f>'Chaves 2a.Fase'!D10</f>
        <v>SILVIO</v>
      </c>
      <c r="D56" s="50">
        <v>1</v>
      </c>
      <c r="E56" s="51">
        <v>0</v>
      </c>
      <c r="F56" s="35" t="str">
        <f>'Chaves 2a.Fase'!D11</f>
        <v>FELIPE</v>
      </c>
      <c r="G56" s="36" t="str">
        <f>'Carnet 1a.Fase'!L112</f>
        <v>ROGÉRIO HAR.</v>
      </c>
      <c r="H56" s="26"/>
      <c r="I56" s="14" t="str">
        <f t="shared" si="1"/>
        <v>SILVIO</v>
      </c>
      <c r="J56" s="14" t="str">
        <f t="shared" si="2"/>
        <v>FELIPE</v>
      </c>
      <c r="L56" s="25" t="str">
        <f t="shared" si="9"/>
        <v>FELIPE</v>
      </c>
      <c r="M56" s="26">
        <f t="shared" si="9"/>
        <v>3</v>
      </c>
      <c r="N56" s="26">
        <f t="shared" si="9"/>
        <v>1</v>
      </c>
      <c r="O56" s="26">
        <f t="shared" si="9"/>
        <v>1</v>
      </c>
      <c r="P56" s="26">
        <f t="shared" si="9"/>
        <v>1</v>
      </c>
      <c r="Q56" s="26">
        <f t="shared" si="9"/>
        <v>3</v>
      </c>
      <c r="R56" s="26">
        <f t="shared" si="9"/>
        <v>1</v>
      </c>
      <c r="S56" s="26">
        <f t="shared" si="9"/>
        <v>2</v>
      </c>
      <c r="T56" s="27">
        <f t="shared" si="9"/>
        <v>4</v>
      </c>
    </row>
    <row r="57" spans="12:22" ht="12.75">
      <c r="L57" s="25" t="str">
        <f t="shared" si="9"/>
        <v>ALDIR</v>
      </c>
      <c r="M57" s="26">
        <f t="shared" si="9"/>
        <v>3</v>
      </c>
      <c r="N57" s="26">
        <f t="shared" si="9"/>
        <v>1</v>
      </c>
      <c r="O57" s="26">
        <f t="shared" si="9"/>
        <v>2</v>
      </c>
      <c r="P57" s="26">
        <f t="shared" si="9"/>
        <v>0</v>
      </c>
      <c r="Q57" s="26">
        <f t="shared" si="9"/>
        <v>2</v>
      </c>
      <c r="R57" s="26">
        <f t="shared" si="9"/>
        <v>5</v>
      </c>
      <c r="S57" s="26">
        <f t="shared" si="9"/>
        <v>-3</v>
      </c>
      <c r="T57" s="27">
        <f t="shared" si="9"/>
        <v>3</v>
      </c>
      <c r="V57" s="14" t="s">
        <v>163</v>
      </c>
    </row>
    <row r="58" spans="12:30" ht="12.75">
      <c r="L58" s="37" t="str">
        <f t="shared" si="9"/>
        <v>DIOGO MALLET</v>
      </c>
      <c r="M58" s="38">
        <f t="shared" si="9"/>
        <v>3</v>
      </c>
      <c r="N58" s="38">
        <f t="shared" si="9"/>
        <v>0</v>
      </c>
      <c r="O58" s="38">
        <f t="shared" si="9"/>
        <v>1</v>
      </c>
      <c r="P58" s="38">
        <f t="shared" si="9"/>
        <v>2</v>
      </c>
      <c r="Q58" s="38">
        <f t="shared" si="9"/>
        <v>1</v>
      </c>
      <c r="R58" s="38">
        <f t="shared" si="9"/>
        <v>3</v>
      </c>
      <c r="S58" s="38">
        <f t="shared" si="9"/>
        <v>-2</v>
      </c>
      <c r="T58" s="39">
        <f t="shared" si="9"/>
        <v>2</v>
      </c>
      <c r="W58" s="14" t="s">
        <v>107</v>
      </c>
      <c r="X58" s="14" t="s">
        <v>108</v>
      </c>
      <c r="Y58" s="14" t="s">
        <v>109</v>
      </c>
      <c r="Z58" s="14" t="s">
        <v>85</v>
      </c>
      <c r="AA58" s="14" t="s">
        <v>110</v>
      </c>
      <c r="AB58" s="14" t="s">
        <v>111</v>
      </c>
      <c r="AC58" s="14" t="s">
        <v>112</v>
      </c>
      <c r="AD58" s="14" t="s">
        <v>113</v>
      </c>
    </row>
    <row r="59" spans="22:71" ht="12.75">
      <c r="V59" s="14" t="str">
        <f>'Chaves 2a.Fase'!D8</f>
        <v>ALDIR</v>
      </c>
      <c r="W59" s="14">
        <f>COUNT(JAPÃO_JOGOS)</f>
        <v>3</v>
      </c>
      <c r="X59" s="14">
        <f>COUNTIF(Groupstage_Winner,'Chaves 2a.Fase'!D8)</f>
        <v>1</v>
      </c>
      <c r="Y59" s="14">
        <f>COUNTIF(Groupstage_Loser,'Chaves 2a.Fase'!D8)</f>
        <v>2</v>
      </c>
      <c r="Z59" s="14">
        <f>W59-(X59+Y59)</f>
        <v>0</v>
      </c>
      <c r="AA59" s="14">
        <f>SUM(JAPÃO_JOGOS)</f>
        <v>2</v>
      </c>
      <c r="AB59" s="14">
        <f>SUM(JAPÃO_ADV)</f>
        <v>5</v>
      </c>
      <c r="AC59" s="14">
        <f>AA59-AB59</f>
        <v>-3</v>
      </c>
      <c r="AD59" s="14">
        <f>X59*Winpoints+Z59*Drawpoints</f>
        <v>3</v>
      </c>
      <c r="AE59" s="14" t="str">
        <f>IF($AD59&gt;=$AD60,$V59,$V60)</f>
        <v>ALDIR</v>
      </c>
      <c r="AF59" s="14">
        <f>VLOOKUP($AE59,$V59:$AD62,9,FALSE)</f>
        <v>3</v>
      </c>
      <c r="AG59" s="14" t="str">
        <f>IF($AF59&gt;=$AF61,$AE59,$AE61)</f>
        <v>SILVIO</v>
      </c>
      <c r="AH59" s="14">
        <f>VLOOKUP($AG59,$V59:$AD62,9,FALSE)</f>
        <v>7</v>
      </c>
      <c r="AI59" s="14" t="str">
        <f>IF($AH59&gt;=$AH62,$AG59,$AG62)</f>
        <v>SILVIO</v>
      </c>
      <c r="AJ59" s="14">
        <f>VLOOKUP($AI59,$V59:$AD62,9,FALSE)</f>
        <v>7</v>
      </c>
      <c r="AK59" s="14">
        <f>VLOOKUP($AI59,$V59:$AD62,8,FALSE)</f>
        <v>3</v>
      </c>
      <c r="AL59" s="14" t="str">
        <f>IF(AND($AJ59=$AJ60,$AK60&gt;$AK59),$AI60,$AI59)</f>
        <v>SILVIO</v>
      </c>
      <c r="AM59" s="14">
        <f>VLOOKUP($AL59,$V59:$AD62,9,FALSE)</f>
        <v>7</v>
      </c>
      <c r="AN59" s="14">
        <f>VLOOKUP($AL59,$V59:$AD62,8,FALSE)</f>
        <v>3</v>
      </c>
      <c r="AO59" s="14" t="str">
        <f>IF(AND($AM59=$AM61,$AN61&gt;$AN59),$AL61,$AL59)</f>
        <v>SILVIO</v>
      </c>
      <c r="AP59" s="14">
        <f>VLOOKUP($AO59,$V59:$AD62,9,FALSE)</f>
        <v>7</v>
      </c>
      <c r="AQ59" s="14">
        <f>VLOOKUP($AO59,$V59:$AD62,8,FALSE)</f>
        <v>3</v>
      </c>
      <c r="AR59" s="14" t="str">
        <f>IF(AND($AP59=$AP62,$AQ62&gt;$AQ59),$AO62,$AO59)</f>
        <v>SILVIO</v>
      </c>
      <c r="AS59" s="14">
        <f>VLOOKUP($AR59,$V59:$AD62,9,FALSE)</f>
        <v>7</v>
      </c>
      <c r="AT59" s="14">
        <f>VLOOKUP($AR59,$V59:$AD62,8,FALSE)</f>
        <v>3</v>
      </c>
      <c r="AU59" s="14">
        <f>VLOOKUP($AR59,$V59:$AD62,6,FALSE)</f>
        <v>4</v>
      </c>
      <c r="AV59" s="14" t="str">
        <f>IF(AND($AS59=$AS60,$AT59=$AT60,$AU60&gt;$AU59),$AR60,$AR59)</f>
        <v>SILVIO</v>
      </c>
      <c r="AW59" s="14">
        <f>VLOOKUP($AV59,$V59:$AD62,9,FALSE)</f>
        <v>7</v>
      </c>
      <c r="AX59" s="14">
        <f>VLOOKUP($AV59,$V59:$AD62,8,FALSE)</f>
        <v>3</v>
      </c>
      <c r="AY59" s="14">
        <f>VLOOKUP($AV59,$V59:$AD62,6,FALSE)</f>
        <v>4</v>
      </c>
      <c r="AZ59" s="14" t="str">
        <f>IF(AND($AW59=$AW61,$AX59=$AX61,$AY61&gt;$AY59),$AV61,$AV59)</f>
        <v>SILVIO</v>
      </c>
      <c r="BA59" s="14">
        <f>VLOOKUP($AZ59,$V59:$AD62,9,FALSE)</f>
        <v>7</v>
      </c>
      <c r="BB59" s="14">
        <f>VLOOKUP($AZ59,$V59:$AD62,8,FALSE)</f>
        <v>3</v>
      </c>
      <c r="BC59" s="14">
        <f>VLOOKUP($AZ59,$V59:$AD62,6,FALSE)</f>
        <v>4</v>
      </c>
      <c r="BD59" s="14" t="str">
        <f>IF(AND($BA59=$BA62,$BB59=$BB62,$BC62&gt;$BC59),$AZ62,$AZ59)</f>
        <v>SILVIO</v>
      </c>
      <c r="BE59" s="14">
        <f>VLOOKUP($BD59,$V59:$AD62,9,FALSE)</f>
        <v>7</v>
      </c>
      <c r="BF59" s="14">
        <f>VLOOKUP($BD59,$V59:$AD62,8,FALSE)</f>
        <v>3</v>
      </c>
      <c r="BG59" s="14">
        <f>VLOOKUP($BD59,$V59:$AD62,6,FALSE)</f>
        <v>4</v>
      </c>
      <c r="BK59" s="14" t="str">
        <f>BD59</f>
        <v>SILVIO</v>
      </c>
      <c r="BL59" s="14">
        <f>VLOOKUP($BK59,$V59:$AD62,2,FALSE)</f>
        <v>3</v>
      </c>
      <c r="BM59" s="14">
        <f>VLOOKUP($BK59,$V59:$AD62,3,FALSE)</f>
        <v>2</v>
      </c>
      <c r="BN59" s="14">
        <f>VLOOKUP($BK59,$V59:$AD62,4,FALSE)</f>
        <v>0</v>
      </c>
      <c r="BO59" s="14">
        <f>VLOOKUP($BK59,$V59:$AD62,5,FALSE)</f>
        <v>1</v>
      </c>
      <c r="BP59" s="14">
        <f>VLOOKUP($BK59,$V59:$AD62,6,FALSE)</f>
        <v>4</v>
      </c>
      <c r="BQ59" s="14">
        <f>VLOOKUP($BK59,$V59:$AD62,7,FALSE)</f>
        <v>1</v>
      </c>
      <c r="BR59" s="14">
        <f>VLOOKUP($BK59,$V59:$AD62,8,FALSE)</f>
        <v>3</v>
      </c>
      <c r="BS59" s="14">
        <f>VLOOKUP($BK59,$V59:$AD62,9,FALSE)</f>
        <v>7</v>
      </c>
    </row>
    <row r="60" spans="22:71" ht="12.75">
      <c r="V60" s="14" t="str">
        <f>'Chaves 2a.Fase'!D9</f>
        <v>DIOGO MALLET</v>
      </c>
      <c r="W60" s="14">
        <f>COUNT(CHINA_JOGOS)</f>
        <v>3</v>
      </c>
      <c r="X60" s="14">
        <f>COUNTIF(Groupstage_Winner,'Chaves 2a.Fase'!D9)</f>
        <v>0</v>
      </c>
      <c r="Y60" s="14">
        <f>COUNTIF(Groupstage_Loser,'Chaves 2a.Fase'!D9)</f>
        <v>1</v>
      </c>
      <c r="Z60" s="14">
        <f>W60-(X60+Y60)</f>
        <v>2</v>
      </c>
      <c r="AA60" s="14">
        <f>SUM(CHINA_JOGOS)</f>
        <v>1</v>
      </c>
      <c r="AB60" s="14">
        <f>SUM(CHINA_ADV)</f>
        <v>3</v>
      </c>
      <c r="AC60" s="14">
        <f>AA60-AB60</f>
        <v>-2</v>
      </c>
      <c r="AD60" s="14">
        <f>X60*Winpoints+Z60*Drawpoints</f>
        <v>2</v>
      </c>
      <c r="AE60" s="14" t="str">
        <f>IF($AD60&lt;=$AD59,$V60,$V59)</f>
        <v>DIOGO MALLET</v>
      </c>
      <c r="AF60" s="14">
        <f>VLOOKUP($AE60,$V59:$AD62,9,FALSE)</f>
        <v>2</v>
      </c>
      <c r="AG60" s="14" t="str">
        <f>IF(AF60&gt;=AF62,AE60,AE62)</f>
        <v>FELIPE</v>
      </c>
      <c r="AH60" s="14">
        <f>VLOOKUP($AG60,$V59:$AD62,9,FALSE)</f>
        <v>4</v>
      </c>
      <c r="AI60" s="14" t="str">
        <f>IF($AH60&gt;=$AH61,$AG60,$AG61)</f>
        <v>FELIPE</v>
      </c>
      <c r="AJ60" s="14">
        <f>VLOOKUP($AI60,$V59:$AD62,9,FALSE)</f>
        <v>4</v>
      </c>
      <c r="AK60" s="14">
        <f>VLOOKUP($AI60,$V59:$AD62,8,FALSE)</f>
        <v>2</v>
      </c>
      <c r="AL60" s="14" t="str">
        <f>IF(AND($AJ59=$AJ60,$AK60&gt;$AK59),$AI59,$AI60)</f>
        <v>FELIPE</v>
      </c>
      <c r="AM60" s="14">
        <f>VLOOKUP($AL60,$V59:$AD62,9,FALSE)</f>
        <v>4</v>
      </c>
      <c r="AN60" s="14">
        <f>VLOOKUP($AL60,$V59:$AD62,8,FALSE)</f>
        <v>2</v>
      </c>
      <c r="AO60" s="14" t="str">
        <f>IF(AND($AM60=$AM62,$AN62&gt;$AN60),$AL62,$AL60)</f>
        <v>FELIPE</v>
      </c>
      <c r="AP60" s="14">
        <f>VLOOKUP($AO60,$V59:$AD62,9,FALSE)</f>
        <v>4</v>
      </c>
      <c r="AQ60" s="14">
        <f>VLOOKUP($AO60,$V59:$AD62,8,FALSE)</f>
        <v>2</v>
      </c>
      <c r="AR60" s="14" t="str">
        <f>IF(AND($AP60=$AP61,$AQ61&gt;$AQ60),$AO61,$AO60)</f>
        <v>FELIPE</v>
      </c>
      <c r="AS60" s="14">
        <f>VLOOKUP($AR60,$V59:$AD62,9,FALSE)</f>
        <v>4</v>
      </c>
      <c r="AT60" s="14">
        <f>VLOOKUP($AR60,$V59:$AD62,8,FALSE)</f>
        <v>2</v>
      </c>
      <c r="AU60" s="14">
        <f>VLOOKUP($AR60,$V59:$AD62,6,FALSE)</f>
        <v>3</v>
      </c>
      <c r="AV60" s="14" t="str">
        <f>IF(AND($AS59=$AS60,$AT59=$AT60,$AU60&gt;$AU59),$AR59,$AR60)</f>
        <v>FELIPE</v>
      </c>
      <c r="AW60" s="14">
        <f>VLOOKUP($AV60,$V59:$AD62,9,FALSE)</f>
        <v>4</v>
      </c>
      <c r="AX60" s="14">
        <f>VLOOKUP($AV60,$V59:$AD62,8,FALSE)</f>
        <v>2</v>
      </c>
      <c r="AY60" s="14">
        <f>VLOOKUP($AV60,$V59:$AD62,6,FALSE)</f>
        <v>3</v>
      </c>
      <c r="AZ60" s="14" t="str">
        <f>IF(AND($AW60=$AW62,$AX60=$AX62,$AY62&gt;$AY60),$AV62,$AV60)</f>
        <v>FELIPE</v>
      </c>
      <c r="BA60" s="14">
        <f>VLOOKUP($AZ60,$V59:$AD62,9,FALSE)</f>
        <v>4</v>
      </c>
      <c r="BB60" s="14">
        <f>VLOOKUP($AZ60,$V59:$AD62,8,FALSE)</f>
        <v>2</v>
      </c>
      <c r="BC60" s="14">
        <f>VLOOKUP($AZ60,$V59:$AD62,6,FALSE)</f>
        <v>3</v>
      </c>
      <c r="BD60" s="14" t="str">
        <f>IF(AND($BA60=$BA61,$BB60=$BB61,$BC61&gt;$BC60),$AZ61,$AZ60)</f>
        <v>FELIPE</v>
      </c>
      <c r="BE60" s="14">
        <f>VLOOKUP($BD60,$V59:$AD62,9,FALSE)</f>
        <v>4</v>
      </c>
      <c r="BF60" s="14">
        <f>VLOOKUP($BD60,$V59:$AD62,8,FALSE)</f>
        <v>2</v>
      </c>
      <c r="BG60" s="14">
        <f>VLOOKUP($BD60,$V59:$AD62,6,FALSE)</f>
        <v>3</v>
      </c>
      <c r="BK60" s="14" t="str">
        <f>BD60</f>
        <v>FELIPE</v>
      </c>
      <c r="BL60" s="14">
        <f>VLOOKUP($BK60,$V59:$AD62,2,FALSE)</f>
        <v>3</v>
      </c>
      <c r="BM60" s="14">
        <f>VLOOKUP($BK60,$V59:$AD62,3,FALSE)</f>
        <v>1</v>
      </c>
      <c r="BN60" s="14">
        <f>VLOOKUP($BK60,$V59:$AD62,4,FALSE)</f>
        <v>1</v>
      </c>
      <c r="BO60" s="14">
        <f>VLOOKUP($BK60,$V59:$AD62,5,FALSE)</f>
        <v>1</v>
      </c>
      <c r="BP60" s="14">
        <f>VLOOKUP($BK60,$V59:$AD62,6,FALSE)</f>
        <v>3</v>
      </c>
      <c r="BQ60" s="14">
        <f>VLOOKUP($BK60,$V59:$AD62,7,FALSE)</f>
        <v>1</v>
      </c>
      <c r="BR60" s="14">
        <f>VLOOKUP($BK60,$V59:$AD62,8,FALSE)</f>
        <v>2</v>
      </c>
      <c r="BS60" s="14">
        <f>VLOOKUP($BK60,$V59:$AD62,9,FALSE)</f>
        <v>4</v>
      </c>
    </row>
    <row r="61" spans="22:71" ht="12.75">
      <c r="V61" s="14" t="str">
        <f>'Chaves 2a.Fase'!D10</f>
        <v>SILVIO</v>
      </c>
      <c r="W61" s="14">
        <f>COUNT(COREIA_JOGOS)</f>
        <v>3</v>
      </c>
      <c r="X61" s="14">
        <f>COUNTIF(Groupstage_Winner,'Chaves 2a.Fase'!D10)</f>
        <v>2</v>
      </c>
      <c r="Y61" s="14">
        <f>COUNTIF(Groupstage_Loser,'Chaves 2a.Fase'!D10)</f>
        <v>0</v>
      </c>
      <c r="Z61" s="14">
        <f>W61-(X61+Y61)</f>
        <v>1</v>
      </c>
      <c r="AA61" s="14">
        <f>SUM(COREIA_JOGOS)</f>
        <v>4</v>
      </c>
      <c r="AB61" s="14">
        <f>SUM(COREIA_ADV)</f>
        <v>1</v>
      </c>
      <c r="AC61" s="14">
        <f>AA61-AB61</f>
        <v>3</v>
      </c>
      <c r="AD61" s="14">
        <f>X61*Winpoints+Z61*Drawpoints</f>
        <v>7</v>
      </c>
      <c r="AE61" s="14" t="str">
        <f>IF($AD61&gt;=$AD62,$V61,$V62)</f>
        <v>SILVIO</v>
      </c>
      <c r="AF61" s="14">
        <f>VLOOKUP($AE61,$V59:$AD62,9,FALSE)</f>
        <v>7</v>
      </c>
      <c r="AG61" s="14" t="str">
        <f>IF($AF61&lt;=$AF59,$AE61,$AE59)</f>
        <v>ALDIR</v>
      </c>
      <c r="AH61" s="14">
        <f>VLOOKUP($AG61,$V59:$AD62,9,FALSE)</f>
        <v>3</v>
      </c>
      <c r="AI61" s="14" t="str">
        <f>IF($AH61&lt;=$AH60,$AG61,$AG60)</f>
        <v>ALDIR</v>
      </c>
      <c r="AJ61" s="14">
        <f>VLOOKUP($AI61,$V59:$AD62,9,FALSE)</f>
        <v>3</v>
      </c>
      <c r="AK61" s="14">
        <f>VLOOKUP($AI61,$V59:$AD62,8,FALSE)</f>
        <v>-3</v>
      </c>
      <c r="AL61" s="14" t="str">
        <f>IF(AND($AJ61=$AJ62,$AK62&gt;$AK61),$AI62,$AI61)</f>
        <v>ALDIR</v>
      </c>
      <c r="AM61" s="14">
        <f>VLOOKUP($AL61,$V59:$AD62,9,FALSE)</f>
        <v>3</v>
      </c>
      <c r="AN61" s="14">
        <f>VLOOKUP($AL61,$V59:$AD62,8,FALSE)</f>
        <v>-3</v>
      </c>
      <c r="AO61" s="14" t="str">
        <f>IF(AND($AM59=$AM61,$AN61&gt;$AN59),$AL59,$AL61)</f>
        <v>ALDIR</v>
      </c>
      <c r="AP61" s="14">
        <f>VLOOKUP($AO61,$V59:$AD62,9,FALSE)</f>
        <v>3</v>
      </c>
      <c r="AQ61" s="14">
        <f>VLOOKUP($AO61,$V59:$AD62,8,FALSE)</f>
        <v>-3</v>
      </c>
      <c r="AR61" s="14" t="str">
        <f>IF(AND($AP60=$AP61,$AQ61&gt;$AQ60),$AO60,$AO61)</f>
        <v>ALDIR</v>
      </c>
      <c r="AS61" s="14">
        <f>VLOOKUP($AR61,$V59:$AD62,9,FALSE)</f>
        <v>3</v>
      </c>
      <c r="AT61" s="14">
        <f>VLOOKUP($AR61,$V59:$AD62,8,FALSE)</f>
        <v>-3</v>
      </c>
      <c r="AU61" s="14">
        <f>VLOOKUP($AR61,$V59:$AD62,6,FALSE)</f>
        <v>2</v>
      </c>
      <c r="AV61" s="14" t="str">
        <f>IF(AND($AS61=$AS62,$AT61=$AT62,$AU62&gt;$AU61),$AR62,$AR61)</f>
        <v>ALDIR</v>
      </c>
      <c r="AW61" s="14">
        <f>VLOOKUP($AV61,$V59:$AD62,9,FALSE)</f>
        <v>3</v>
      </c>
      <c r="AX61" s="14">
        <f>VLOOKUP($AV61,$V59:$AD62,8,FALSE)</f>
        <v>-3</v>
      </c>
      <c r="AY61" s="14">
        <f>VLOOKUP($AV61,$V59:$AD62,6,FALSE)</f>
        <v>2</v>
      </c>
      <c r="AZ61" s="14" t="str">
        <f>IF(AND($AW59=$AW61,$AX59=$AX61,$AY61&gt;$AY59),$AV59,$AV61)</f>
        <v>ALDIR</v>
      </c>
      <c r="BA61" s="14">
        <f>VLOOKUP($AZ61,$V59:$AD62,9,FALSE)</f>
        <v>3</v>
      </c>
      <c r="BB61" s="14">
        <f>VLOOKUP($AZ61,$V59:$AD62,8,FALSE)</f>
        <v>-3</v>
      </c>
      <c r="BC61" s="14">
        <f>VLOOKUP($AZ61,$V59:$AD62,6,FALSE)</f>
        <v>2</v>
      </c>
      <c r="BD61" s="14" t="str">
        <f>IF(AND($BA60=$BA61,$BB60=$BB61,$BC61&gt;$BC60),$AZ60,$AZ61)</f>
        <v>ALDIR</v>
      </c>
      <c r="BE61" s="14">
        <f>VLOOKUP($BD61,$V59:$AD62,9,FALSE)</f>
        <v>3</v>
      </c>
      <c r="BF61" s="14">
        <f>VLOOKUP($BD61,$V59:$AD62,8,FALSE)</f>
        <v>-3</v>
      </c>
      <c r="BG61" s="14">
        <f>VLOOKUP($BD61,$V59:$AD62,6,FALSE)</f>
        <v>2</v>
      </c>
      <c r="BK61" s="14" t="str">
        <f>BD61</f>
        <v>ALDIR</v>
      </c>
      <c r="BL61" s="14">
        <f>VLOOKUP($BK61,$V59:$AD62,2,FALSE)</f>
        <v>3</v>
      </c>
      <c r="BM61" s="14">
        <f>VLOOKUP($BK61,$V59:$AD62,3,FALSE)</f>
        <v>1</v>
      </c>
      <c r="BN61" s="14">
        <f>VLOOKUP($BK61,$V59:$AD62,4,FALSE)</f>
        <v>2</v>
      </c>
      <c r="BO61" s="14">
        <f>VLOOKUP($BK61,$V59:$AD62,5,FALSE)</f>
        <v>0</v>
      </c>
      <c r="BP61" s="14">
        <f>VLOOKUP($BK61,$V59:$AD62,6,FALSE)</f>
        <v>2</v>
      </c>
      <c r="BQ61" s="14">
        <f>VLOOKUP($BK61,$V59:$AD62,7,FALSE)</f>
        <v>5</v>
      </c>
      <c r="BR61" s="14">
        <f>VLOOKUP($BK61,$V59:$AD62,8,FALSE)</f>
        <v>-3</v>
      </c>
      <c r="BS61" s="14">
        <f>VLOOKUP($BK61,$V59:$AD62,9,FALSE)</f>
        <v>3</v>
      </c>
    </row>
    <row r="62" spans="22:71" ht="12.75">
      <c r="V62" s="14" t="str">
        <f>'Chaves 2a.Fase'!D11</f>
        <v>FELIPE</v>
      </c>
      <c r="W62" s="14">
        <f>COUNT(AFRICA_JOGOS)</f>
        <v>3</v>
      </c>
      <c r="X62" s="14">
        <f>COUNTIF(Groupstage_Winner,'Chaves 2a.Fase'!D11)</f>
        <v>1</v>
      </c>
      <c r="Y62" s="14">
        <f>COUNTIF(Groupstage_Loser,'Chaves 2a.Fase'!D11)</f>
        <v>1</v>
      </c>
      <c r="Z62" s="14">
        <f>W62-(X62+Y62)</f>
        <v>1</v>
      </c>
      <c r="AA62" s="14">
        <f>SUM(AFRICA_JOGOS)</f>
        <v>3</v>
      </c>
      <c r="AB62" s="14">
        <f>SUM(AFRICA_ADV)</f>
        <v>1</v>
      </c>
      <c r="AC62" s="14">
        <f>AA62-AB62</f>
        <v>2</v>
      </c>
      <c r="AD62" s="14">
        <f>X62*Winpoints+Z62*Drawpoints</f>
        <v>4</v>
      </c>
      <c r="AE62" s="14" t="str">
        <f>IF($AD62&lt;=$AD61,$V62,$V61)</f>
        <v>FELIPE</v>
      </c>
      <c r="AF62" s="14">
        <f>VLOOKUP($AE62,$V59:$AD62,9,FALSE)</f>
        <v>4</v>
      </c>
      <c r="AG62" s="14" t="str">
        <f>IF(AF62&lt;=AF60,AE62,AE60)</f>
        <v>DIOGO MALLET</v>
      </c>
      <c r="AH62" s="14">
        <f>VLOOKUP($AG62,$V59:$AD62,9,FALSE)</f>
        <v>2</v>
      </c>
      <c r="AI62" s="14" t="str">
        <f>IF($AH62&lt;=$AH59,$AG62,$AG59)</f>
        <v>DIOGO MALLET</v>
      </c>
      <c r="AJ62" s="14">
        <f>VLOOKUP($AI62,$V59:$AD62,9,FALSE)</f>
        <v>2</v>
      </c>
      <c r="AK62" s="14">
        <f>VLOOKUP($AI62,$V59:$AD62,8,FALSE)</f>
        <v>-2</v>
      </c>
      <c r="AL62" s="14" t="str">
        <f>IF(AND($AJ61=$AJ62,$AK62&gt;$AK61),$AI61,$AI62)</f>
        <v>DIOGO MALLET</v>
      </c>
      <c r="AM62" s="14">
        <f>VLOOKUP($AL62,$V59:$AD62,9,FALSE)</f>
        <v>2</v>
      </c>
      <c r="AN62" s="14">
        <f>VLOOKUP($AL62,$V59:$AD62,8,FALSE)</f>
        <v>-2</v>
      </c>
      <c r="AO62" s="14" t="str">
        <f>IF(AND($AM60=$AM62,$AN62&gt;$AN60),$AL60,$AL62)</f>
        <v>DIOGO MALLET</v>
      </c>
      <c r="AP62" s="14">
        <f>VLOOKUP($AO62,$V59:$AD62,9,FALSE)</f>
        <v>2</v>
      </c>
      <c r="AQ62" s="14">
        <f>VLOOKUP($AO62,$V59:$AD62,8,FALSE)</f>
        <v>-2</v>
      </c>
      <c r="AR62" s="14" t="str">
        <f>IF(AND($AP59=$AP62,$AQ62&gt;$AQ59),$AO59,$AO62)</f>
        <v>DIOGO MALLET</v>
      </c>
      <c r="AS62" s="14">
        <f>VLOOKUP($AR62,$V59:$AD62,9,FALSE)</f>
        <v>2</v>
      </c>
      <c r="AT62" s="14">
        <f>VLOOKUP($AR62,$V59:$AD62,8,FALSE)</f>
        <v>-2</v>
      </c>
      <c r="AU62" s="14">
        <f>VLOOKUP($AR62,$V59:$AD62,6,FALSE)</f>
        <v>1</v>
      </c>
      <c r="AV62" s="14" t="str">
        <f>IF(AND($AS61=$AS62,$AT61=$AT62,$AU62&gt;$AU61),$AR61,$AR62)</f>
        <v>DIOGO MALLET</v>
      </c>
      <c r="AW62" s="14">
        <f>VLOOKUP($AV62,$V59:$AD62,9,FALSE)</f>
        <v>2</v>
      </c>
      <c r="AX62" s="14">
        <f>VLOOKUP($AV62,$V59:$AD62,8,FALSE)</f>
        <v>-2</v>
      </c>
      <c r="AY62" s="14">
        <f>VLOOKUP($AV62,$V59:$AD62,6,FALSE)</f>
        <v>1</v>
      </c>
      <c r="AZ62" s="14" t="str">
        <f>IF(AND($AW60=$AW62,$AX60=$AX62,$AY62&gt;$AY60),$AV60,$AV62)</f>
        <v>DIOGO MALLET</v>
      </c>
      <c r="BA62" s="14">
        <f>VLOOKUP($AZ62,$V59:$AD62,9,FALSE)</f>
        <v>2</v>
      </c>
      <c r="BB62" s="14">
        <f>VLOOKUP($AZ62,$V59:$AD62,8,FALSE)</f>
        <v>-2</v>
      </c>
      <c r="BC62" s="14">
        <f>VLOOKUP($AZ62,$V59:$AD62,6,FALSE)</f>
        <v>1</v>
      </c>
      <c r="BD62" s="14" t="str">
        <f>IF(AND($BA59=$BA62,$BB59=$BB62,$BC62&gt;$BC59),$AZ59,$AZ62)</f>
        <v>DIOGO MALLET</v>
      </c>
      <c r="BE62" s="14">
        <f>VLOOKUP($BD62,$V59:$AD62,9,FALSE)</f>
        <v>2</v>
      </c>
      <c r="BF62" s="14">
        <f>VLOOKUP($BD62,$V59:$AD62,8,FALSE)</f>
        <v>-2</v>
      </c>
      <c r="BG62" s="14">
        <f>VLOOKUP($BD62,$V59:$AD62,6,FALSE)</f>
        <v>1</v>
      </c>
      <c r="BK62" s="14" t="str">
        <f>BD62</f>
        <v>DIOGO MALLET</v>
      </c>
      <c r="BL62" s="14">
        <f>VLOOKUP($BK62,$V59:$AD62,2,FALSE)</f>
        <v>3</v>
      </c>
      <c r="BM62" s="14">
        <f>VLOOKUP($BK62,$V59:$AD62,3,FALSE)</f>
        <v>0</v>
      </c>
      <c r="BN62" s="14">
        <f>VLOOKUP($BK62,$V59:$AD62,4,FALSE)</f>
        <v>1</v>
      </c>
      <c r="BO62" s="14">
        <f>VLOOKUP($BK62,$V59:$AD62,5,FALSE)</f>
        <v>2</v>
      </c>
      <c r="BP62" s="14">
        <f>VLOOKUP($BK62,$V59:$AD62,6,FALSE)</f>
        <v>1</v>
      </c>
      <c r="BQ62" s="14">
        <f>VLOOKUP($BK62,$V59:$AD62,7,FALSE)</f>
        <v>3</v>
      </c>
      <c r="BR62" s="14">
        <f>VLOOKUP($BK62,$V59:$AD62,8,FALSE)</f>
        <v>-2</v>
      </c>
      <c r="BS62" s="14">
        <f>VLOOKUP($BK62,$V59:$AD62,9,FALSE)</f>
        <v>2</v>
      </c>
    </row>
  </sheetData>
  <sheetProtection password="F58E" sheet="1" objects="1" scenarios="1"/>
  <printOptions/>
  <pageMargins left="0.3937007874015748" right="0" top="0.11811023622047245" bottom="0.5905511811023623" header="0.2362204724409449" footer="0.5118110236220472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showGridLines="0" showRowColHeaders="0" zoomScalePageLayoutView="0" workbookViewId="0" topLeftCell="A1">
      <selection activeCell="D6" sqref="D6"/>
    </sheetView>
  </sheetViews>
  <sheetFormatPr defaultColWidth="9.140625" defaultRowHeight="12.75"/>
  <cols>
    <col min="1" max="4" width="25.7109375" style="13" customWidth="1"/>
    <col min="5" max="16384" width="9.140625" style="13" customWidth="1"/>
  </cols>
  <sheetData>
    <row r="1" spans="1:4" s="12" customFormat="1" ht="18" customHeight="1">
      <c r="A1" s="9" t="s">
        <v>164</v>
      </c>
      <c r="B1" s="10" t="s">
        <v>165</v>
      </c>
      <c r="C1" s="9" t="s">
        <v>166</v>
      </c>
      <c r="D1" s="10" t="s">
        <v>167</v>
      </c>
    </row>
    <row r="2" spans="1:4" ht="18" customHeight="1">
      <c r="A2" s="1" t="s">
        <v>33</v>
      </c>
      <c r="B2" s="2" t="s">
        <v>71</v>
      </c>
      <c r="C2" s="2" t="s">
        <v>35</v>
      </c>
      <c r="D2" s="2" t="s">
        <v>14</v>
      </c>
    </row>
    <row r="3" spans="1:4" ht="18" customHeight="1">
      <c r="A3" s="2" t="s">
        <v>16</v>
      </c>
      <c r="B3" s="2" t="s">
        <v>76</v>
      </c>
      <c r="C3" s="2" t="s">
        <v>11</v>
      </c>
      <c r="D3" s="2" t="s">
        <v>74</v>
      </c>
    </row>
    <row r="4" spans="1:4" ht="18" customHeight="1">
      <c r="A4" s="2" t="s">
        <v>69</v>
      </c>
      <c r="B4" s="2" t="s">
        <v>75</v>
      </c>
      <c r="C4" s="2" t="s">
        <v>37</v>
      </c>
      <c r="D4" s="2" t="s">
        <v>15</v>
      </c>
    </row>
    <row r="5" spans="1:4" ht="18" customHeight="1">
      <c r="A5" s="2" t="s">
        <v>53</v>
      </c>
      <c r="B5" s="2" t="s">
        <v>73</v>
      </c>
      <c r="C5" s="3" t="s">
        <v>52</v>
      </c>
      <c r="D5" s="2" t="s">
        <v>46</v>
      </c>
    </row>
  </sheetData>
  <sheetProtection password="EA4E" sheet="1" objects="1" scenarios="1"/>
  <printOptions/>
  <pageMargins left="1.8110236220472442" right="1.7716535433070868" top="2.7952755905511815" bottom="0.984251968503937" header="0.5118110236220472" footer="0.5118110236220472"/>
  <pageSetup horizontalDpi="300" verticalDpi="300" orientation="landscape" paperSize="9" r:id="rId2"/>
  <headerFooter alignWithMargins="0">
    <oddHeader>&amp;C&amp;"Arial,Negrito"&amp;16CHAVES 3a. FASE&amp;"Arial,Normal"&amp;10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60"/>
  <sheetViews>
    <sheetView showGridLines="0" showRowColHeaders="0"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.8515625" style="14" customWidth="1"/>
    <col min="2" max="2" width="3.7109375" style="52" customWidth="1"/>
    <col min="3" max="3" width="15.8515625" style="16" customWidth="1"/>
    <col min="4" max="4" width="3.00390625" style="16" customWidth="1"/>
    <col min="5" max="5" width="3.00390625" style="14" customWidth="1"/>
    <col min="6" max="6" width="15.8515625" style="16" customWidth="1"/>
    <col min="7" max="7" width="15.8515625" style="14" customWidth="1"/>
    <col min="8" max="8" width="0.9921875" style="14" customWidth="1"/>
    <col min="9" max="9" width="10.8515625" style="14" hidden="1" customWidth="1"/>
    <col min="10" max="10" width="9.140625" style="14" hidden="1" customWidth="1"/>
    <col min="11" max="11" width="5.00390625" style="14" customWidth="1"/>
    <col min="12" max="12" width="14.00390625" style="14" customWidth="1"/>
    <col min="13" max="13" width="2.28125" style="18" customWidth="1"/>
    <col min="14" max="14" width="2.8515625" style="18" customWidth="1"/>
    <col min="15" max="15" width="2.00390625" style="18" customWidth="1"/>
    <col min="16" max="16" width="2.28125" style="18" customWidth="1"/>
    <col min="17" max="17" width="4.00390625" style="18" customWidth="1"/>
    <col min="18" max="18" width="4.140625" style="18" customWidth="1"/>
    <col min="19" max="19" width="4.00390625" style="18" customWidth="1"/>
    <col min="20" max="20" width="3.8515625" style="18" customWidth="1"/>
    <col min="21" max="21" width="6.28125" style="14" customWidth="1"/>
    <col min="22" max="23" width="0" style="14" hidden="1" customWidth="1"/>
    <col min="24" max="24" width="2.8515625" style="14" hidden="1" customWidth="1"/>
    <col min="25" max="25" width="2.00390625" style="14" hidden="1" customWidth="1"/>
    <col min="26" max="26" width="2.28125" style="14" hidden="1" customWidth="1"/>
    <col min="27" max="27" width="2.140625" style="14" hidden="1" customWidth="1"/>
    <col min="28" max="28" width="2.28125" style="14" hidden="1" customWidth="1"/>
    <col min="29" max="29" width="3.7109375" style="14" hidden="1" customWidth="1"/>
    <col min="30" max="30" width="6.28125" style="14" hidden="1" customWidth="1"/>
    <col min="31" max="72" width="0" style="14" hidden="1" customWidth="1"/>
    <col min="73" max="16384" width="9.140625" style="14" customWidth="1"/>
  </cols>
  <sheetData>
    <row r="1" spans="4:11" ht="54.75" customHeight="1">
      <c r="D1" s="17"/>
      <c r="E1" s="75" t="s">
        <v>80</v>
      </c>
      <c r="F1" s="76"/>
      <c r="G1" s="76"/>
      <c r="H1" s="17"/>
      <c r="I1" s="17"/>
      <c r="J1" s="17"/>
      <c r="K1" s="17"/>
    </row>
    <row r="2" ht="12.75"/>
    <row r="3" spans="9:56" ht="11.25" customHeight="1">
      <c r="I3" s="14" t="s">
        <v>81</v>
      </c>
      <c r="J3" s="14" t="s">
        <v>82</v>
      </c>
      <c r="V3" s="14" t="s">
        <v>91</v>
      </c>
      <c r="AE3" s="14" t="s">
        <v>92</v>
      </c>
      <c r="AG3" s="14" t="s">
        <v>93</v>
      </c>
      <c r="AI3" s="14" t="s">
        <v>94</v>
      </c>
      <c r="AL3" s="14" t="s">
        <v>95</v>
      </c>
      <c r="AO3" s="14" t="s">
        <v>96</v>
      </c>
      <c r="AR3" s="14" t="s">
        <v>97</v>
      </c>
      <c r="AV3" s="14" t="s">
        <v>98</v>
      </c>
      <c r="AZ3" s="14" t="s">
        <v>99</v>
      </c>
      <c r="BD3" s="14" t="s">
        <v>100</v>
      </c>
    </row>
    <row r="4" spans="1:20" ht="15">
      <c r="A4" s="71" t="s">
        <v>168</v>
      </c>
      <c r="B4" s="72"/>
      <c r="C4" s="72"/>
      <c r="D4" s="72"/>
      <c r="E4" s="72"/>
      <c r="F4" s="72"/>
      <c r="G4" s="72"/>
      <c r="H4" s="73"/>
      <c r="L4" s="19" t="s">
        <v>169</v>
      </c>
      <c r="M4" s="20"/>
      <c r="N4" s="20"/>
      <c r="O4" s="20"/>
      <c r="P4" s="20"/>
      <c r="Q4" s="20"/>
      <c r="R4" s="20"/>
      <c r="S4" s="20"/>
      <c r="T4" s="21"/>
    </row>
    <row r="5" spans="1:20" ht="15">
      <c r="A5" s="28" t="s">
        <v>102</v>
      </c>
      <c r="B5" s="53" t="s">
        <v>103</v>
      </c>
      <c r="C5" s="30"/>
      <c r="D5" s="30"/>
      <c r="E5" s="30"/>
      <c r="F5" s="30"/>
      <c r="G5" s="31" t="s">
        <v>104</v>
      </c>
      <c r="H5" s="32"/>
      <c r="L5" s="22"/>
      <c r="M5" s="23" t="s">
        <v>83</v>
      </c>
      <c r="N5" s="23" t="s">
        <v>84</v>
      </c>
      <c r="O5" s="23" t="s">
        <v>85</v>
      </c>
      <c r="P5" s="23" t="s">
        <v>86</v>
      </c>
      <c r="Q5" s="23" t="s">
        <v>87</v>
      </c>
      <c r="R5" s="23" t="s">
        <v>88</v>
      </c>
      <c r="S5" s="23" t="s">
        <v>89</v>
      </c>
      <c r="T5" s="24" t="s">
        <v>90</v>
      </c>
    </row>
    <row r="6" spans="1:22" ht="15" customHeight="1" thickBot="1">
      <c r="A6" s="74" t="s">
        <v>170</v>
      </c>
      <c r="B6" s="74"/>
      <c r="C6" s="74"/>
      <c r="D6" s="74"/>
      <c r="E6" s="74"/>
      <c r="F6" s="74"/>
      <c r="G6" s="74"/>
      <c r="H6" s="74"/>
      <c r="L6" s="25" t="str">
        <f>BK8</f>
        <v>SILVIO</v>
      </c>
      <c r="M6" s="26">
        <f aca="true" t="shared" si="0" ref="M6:T9">BL8</f>
        <v>3</v>
      </c>
      <c r="N6" s="26">
        <f t="shared" si="0"/>
        <v>1</v>
      </c>
      <c r="O6" s="26">
        <f t="shared" si="0"/>
        <v>0</v>
      </c>
      <c r="P6" s="26">
        <f t="shared" si="0"/>
        <v>2</v>
      </c>
      <c r="Q6" s="26">
        <f t="shared" si="0"/>
        <v>6</v>
      </c>
      <c r="R6" s="26">
        <f t="shared" si="0"/>
        <v>0</v>
      </c>
      <c r="S6" s="26">
        <f t="shared" si="0"/>
        <v>6</v>
      </c>
      <c r="T6" s="27">
        <f t="shared" si="0"/>
        <v>5</v>
      </c>
      <c r="V6" s="14" t="s">
        <v>171</v>
      </c>
    </row>
    <row r="7" spans="1:71" ht="13.5" customHeight="1" thickBot="1">
      <c r="A7" s="26">
        <v>25</v>
      </c>
      <c r="B7" s="33">
        <v>1</v>
      </c>
      <c r="C7" s="34" t="str">
        <f>'Chaves 3a.Fase'!A2</f>
        <v>SILVIO</v>
      </c>
      <c r="D7" s="49">
        <v>0</v>
      </c>
      <c r="E7" s="48">
        <v>0</v>
      </c>
      <c r="F7" s="44" t="str">
        <f>'Chaves 3a.Fase'!A5</f>
        <v>FELIPE</v>
      </c>
      <c r="G7" s="54" t="str">
        <f>'Carnet 2a.Fase'!L16</f>
        <v>PUFAL</v>
      </c>
      <c r="I7" s="14" t="str">
        <f aca="true" t="shared" si="1" ref="I7:I32">IF(D7&lt;&gt;"",IF(D7&gt;E7,C7,IF(E7&gt;D7,F7,"Draw")),"")</f>
        <v>Draw</v>
      </c>
      <c r="J7" s="14" t="str">
        <f aca="true" t="shared" si="2" ref="J7:J32">IF(D7&lt;&gt;"",IF(D7&lt;E7,C7,IF(E7&lt;D7,F7,"Draw")),"")</f>
        <v>Draw</v>
      </c>
      <c r="L7" s="25" t="str">
        <f>BK9</f>
        <v>FELIPE</v>
      </c>
      <c r="M7" s="26">
        <f t="shared" si="0"/>
        <v>3</v>
      </c>
      <c r="N7" s="26">
        <f t="shared" si="0"/>
        <v>1</v>
      </c>
      <c r="O7" s="26">
        <f t="shared" si="0"/>
        <v>0</v>
      </c>
      <c r="P7" s="26">
        <f t="shared" si="0"/>
        <v>2</v>
      </c>
      <c r="Q7" s="26">
        <f t="shared" si="0"/>
        <v>3</v>
      </c>
      <c r="R7" s="26">
        <f t="shared" si="0"/>
        <v>1</v>
      </c>
      <c r="S7" s="26">
        <f t="shared" si="0"/>
        <v>2</v>
      </c>
      <c r="T7" s="27">
        <f t="shared" si="0"/>
        <v>5</v>
      </c>
      <c r="W7" s="14" t="s">
        <v>107</v>
      </c>
      <c r="X7" s="14" t="s">
        <v>108</v>
      </c>
      <c r="Y7" s="14" t="s">
        <v>109</v>
      </c>
      <c r="Z7" s="14" t="s">
        <v>85</v>
      </c>
      <c r="AA7" s="14" t="s">
        <v>110</v>
      </c>
      <c r="AB7" s="14" t="s">
        <v>111</v>
      </c>
      <c r="AC7" s="14" t="s">
        <v>112</v>
      </c>
      <c r="AD7" s="14" t="s">
        <v>113</v>
      </c>
      <c r="AE7" s="14" t="s">
        <v>114</v>
      </c>
      <c r="AF7" s="14" t="s">
        <v>113</v>
      </c>
      <c r="AG7" s="14" t="s">
        <v>114</v>
      </c>
      <c r="AH7" s="14" t="s">
        <v>113</v>
      </c>
      <c r="AI7" s="14" t="s">
        <v>114</v>
      </c>
      <c r="AJ7" s="14" t="s">
        <v>113</v>
      </c>
      <c r="AK7" s="14" t="s">
        <v>112</v>
      </c>
      <c r="AL7" s="14" t="s">
        <v>114</v>
      </c>
      <c r="AM7" s="14" t="s">
        <v>113</v>
      </c>
      <c r="AN7" s="14" t="s">
        <v>112</v>
      </c>
      <c r="AO7" s="14" t="s">
        <v>114</v>
      </c>
      <c r="AP7" s="14" t="s">
        <v>113</v>
      </c>
      <c r="AQ7" s="14" t="s">
        <v>112</v>
      </c>
      <c r="AR7" s="14" t="s">
        <v>114</v>
      </c>
      <c r="AS7" s="14" t="s">
        <v>113</v>
      </c>
      <c r="AT7" s="14" t="s">
        <v>112</v>
      </c>
      <c r="AU7" s="14" t="s">
        <v>110</v>
      </c>
      <c r="AV7" s="14" t="s">
        <v>114</v>
      </c>
      <c r="AW7" s="14" t="s">
        <v>113</v>
      </c>
      <c r="AX7" s="14" t="s">
        <v>112</v>
      </c>
      <c r="AY7" s="14" t="s">
        <v>110</v>
      </c>
      <c r="AZ7" s="14" t="s">
        <v>114</v>
      </c>
      <c r="BA7" s="14" t="s">
        <v>113</v>
      </c>
      <c r="BB7" s="14" t="s">
        <v>112</v>
      </c>
      <c r="BC7" s="14" t="s">
        <v>110</v>
      </c>
      <c r="BD7" s="14" t="s">
        <v>114</v>
      </c>
      <c r="BE7" s="14" t="s">
        <v>113</v>
      </c>
      <c r="BF7" s="14" t="s">
        <v>112</v>
      </c>
      <c r="BG7" s="14" t="s">
        <v>110</v>
      </c>
      <c r="BL7" s="14" t="s">
        <v>115</v>
      </c>
      <c r="BM7" s="14" t="s">
        <v>108</v>
      </c>
      <c r="BN7" s="14" t="s">
        <v>109</v>
      </c>
      <c r="BO7" s="14" t="s">
        <v>85</v>
      </c>
      <c r="BP7" s="14" t="s">
        <v>110</v>
      </c>
      <c r="BQ7" s="14" t="s">
        <v>111</v>
      </c>
      <c r="BR7" s="14" t="s">
        <v>112</v>
      </c>
      <c r="BS7" s="14" t="s">
        <v>113</v>
      </c>
    </row>
    <row r="8" spans="1:71" ht="13.5" customHeight="1" thickBot="1">
      <c r="A8" s="26">
        <v>25</v>
      </c>
      <c r="B8" s="33">
        <v>2</v>
      </c>
      <c r="C8" s="34" t="str">
        <f>'Chaves 3a.Fase'!A3</f>
        <v>ROBSON</v>
      </c>
      <c r="D8" s="49">
        <v>1</v>
      </c>
      <c r="E8" s="48">
        <v>0</v>
      </c>
      <c r="F8" s="44" t="str">
        <f>'Chaves 3a.Fase'!A4</f>
        <v>BRANDÃO</v>
      </c>
      <c r="G8" s="54" t="str">
        <f>'Carnet 2a.Fase'!L9</f>
        <v>SINVAL</v>
      </c>
      <c r="I8" s="14" t="str">
        <f t="shared" si="1"/>
        <v>ROBSON</v>
      </c>
      <c r="J8" s="14" t="str">
        <f t="shared" si="2"/>
        <v>BRANDÃO</v>
      </c>
      <c r="L8" s="25" t="str">
        <f>BK10</f>
        <v>ROBSON</v>
      </c>
      <c r="M8" s="26">
        <f t="shared" si="0"/>
        <v>3</v>
      </c>
      <c r="N8" s="26">
        <f t="shared" si="0"/>
        <v>1</v>
      </c>
      <c r="O8" s="26">
        <f t="shared" si="0"/>
        <v>0</v>
      </c>
      <c r="P8" s="26">
        <f t="shared" si="0"/>
        <v>2</v>
      </c>
      <c r="Q8" s="26">
        <f t="shared" si="0"/>
        <v>1</v>
      </c>
      <c r="R8" s="26">
        <f t="shared" si="0"/>
        <v>0</v>
      </c>
      <c r="S8" s="26">
        <f t="shared" si="0"/>
        <v>1</v>
      </c>
      <c r="T8" s="27">
        <f t="shared" si="0"/>
        <v>5</v>
      </c>
      <c r="V8" s="14" t="str">
        <f>'Chaves 3a.Fase'!A2</f>
        <v>SILVIO</v>
      </c>
      <c r="W8" s="14">
        <f>COUNT(AFUMEPA_JOGOS)</f>
        <v>3</v>
      </c>
      <c r="X8" s="14">
        <f>COUNTIF(Groupstage_Winne,'Chaves 3a.Fase'!A2)</f>
        <v>1</v>
      </c>
      <c r="Y8" s="14">
        <f>COUNTIF(Groupstage_Lose,'Chaves 3a.Fase'!A2)</f>
        <v>0</v>
      </c>
      <c r="Z8" s="14">
        <f>W8-(X8+Y8)</f>
        <v>2</v>
      </c>
      <c r="AA8" s="14">
        <f>SUM(AFUMEPA_JOGOS)</f>
        <v>6</v>
      </c>
      <c r="AB8" s="14">
        <f>SUM(AFUMEPA_ADV)</f>
        <v>0</v>
      </c>
      <c r="AC8" s="14">
        <f>AA8-AB8</f>
        <v>6</v>
      </c>
      <c r="AD8" s="14">
        <f>X8*Winpoints+Z8*Drawpoints</f>
        <v>5</v>
      </c>
      <c r="AE8" s="14" t="str">
        <f>IF($AD8&gt;=$AD9,$V8,$V9)</f>
        <v>SILVIO</v>
      </c>
      <c r="AF8" s="14">
        <f>VLOOKUP($AE8,$V8:$AD11,9,FALSE)</f>
        <v>5</v>
      </c>
      <c r="AG8" s="14" t="str">
        <f>IF($AF8&gt;=$AF10,$AE8,$AE10)</f>
        <v>SILVIO</v>
      </c>
      <c r="AH8" s="14">
        <f>VLOOKUP($AG8,$V8:$AD11,9,FALSE)</f>
        <v>5</v>
      </c>
      <c r="AI8" s="14" t="str">
        <f>IF($AH8&gt;=$AH11,$AG8,$AG11)</f>
        <v>SILVIO</v>
      </c>
      <c r="AJ8" s="14">
        <f>VLOOKUP($AI8,$V8:$AD11,9,FALSE)</f>
        <v>5</v>
      </c>
      <c r="AK8" s="14">
        <f>VLOOKUP($AI8,$V8:$AD11,8,FALSE)</f>
        <v>6</v>
      </c>
      <c r="AL8" s="14" t="str">
        <f>IF(AND($AJ8=$AJ9,$AK9&gt;$AK8),$AI9,$AI8)</f>
        <v>SILVIO</v>
      </c>
      <c r="AM8" s="14">
        <f>VLOOKUP($AL8,$V8:$AD11,9,FALSE)</f>
        <v>5</v>
      </c>
      <c r="AN8" s="14">
        <f>VLOOKUP($AL8,$V8:$AD11,8,FALSE)</f>
        <v>6</v>
      </c>
      <c r="AO8" s="14" t="str">
        <f>IF(AND($AM8=$AM10,$AN10&gt;$AN8),$AL10,$AL8)</f>
        <v>SILVIO</v>
      </c>
      <c r="AP8" s="14">
        <f>VLOOKUP($AO8,$V8:$AD11,9,FALSE)</f>
        <v>5</v>
      </c>
      <c r="AQ8" s="14">
        <f>VLOOKUP($AO8,$V8:$AD11,8,FALSE)</f>
        <v>6</v>
      </c>
      <c r="AR8" s="14" t="str">
        <f>IF(AND($AP8=$AP11,$AQ11&gt;$AQ8),$AO11,$AO8)</f>
        <v>SILVIO</v>
      </c>
      <c r="AS8" s="14">
        <f>VLOOKUP($AR8,$V8:$AD11,9,FALSE)</f>
        <v>5</v>
      </c>
      <c r="AT8" s="14">
        <f>VLOOKUP($AR8,$V8:$AD11,8,FALSE)</f>
        <v>6</v>
      </c>
      <c r="AU8" s="14">
        <f>VLOOKUP($AR8,$V8:$AD11,6,FALSE)</f>
        <v>6</v>
      </c>
      <c r="AV8" s="14" t="str">
        <f>IF(AND($AS8=$AS9,$AT8=$AT9,$AU9&gt;$AU8),$AR9,$AR8)</f>
        <v>SILVIO</v>
      </c>
      <c r="AW8" s="14">
        <f>VLOOKUP($AV8,$V8:$AD11,9,FALSE)</f>
        <v>5</v>
      </c>
      <c r="AX8" s="14">
        <f>VLOOKUP($AV8,$V8:$AD11,8,FALSE)</f>
        <v>6</v>
      </c>
      <c r="AY8" s="14">
        <f>VLOOKUP($AV8,$V8:$AD11,6,FALSE)</f>
        <v>6</v>
      </c>
      <c r="AZ8" s="14" t="str">
        <f>IF(AND($AW8=$AW10,$AX8=$AX10,$AY10&gt;$AY8),$AV10,$AV8)</f>
        <v>SILVIO</v>
      </c>
      <c r="BA8" s="14">
        <f>VLOOKUP($AZ8,$V8:$AD11,9,FALSE)</f>
        <v>5</v>
      </c>
      <c r="BB8" s="14">
        <f>VLOOKUP($AZ8,$V8:$AD11,8,FALSE)</f>
        <v>6</v>
      </c>
      <c r="BC8" s="14">
        <f>VLOOKUP($AZ8,$V8:$AD11,6,FALSE)</f>
        <v>6</v>
      </c>
      <c r="BD8" s="14" t="str">
        <f>IF(AND($BA8=$BA11,$BB8=$BB11,$BC11&gt;$BC8),$AZ11,$AZ8)</f>
        <v>SILVIO</v>
      </c>
      <c r="BE8" s="14">
        <f>VLOOKUP($BD8,$V8:$AD11,9,FALSE)</f>
        <v>5</v>
      </c>
      <c r="BF8" s="14">
        <f>VLOOKUP($BD8,$V8:$AD11,8,FALSE)</f>
        <v>6</v>
      </c>
      <c r="BG8" s="14">
        <f>VLOOKUP($BD8,$V8:$AD11,6,FALSE)</f>
        <v>6</v>
      </c>
      <c r="BK8" s="14" t="str">
        <f>BD8</f>
        <v>SILVIO</v>
      </c>
      <c r="BL8" s="14">
        <f>VLOOKUP($BK8,$V8:$AD11,2,FALSE)</f>
        <v>3</v>
      </c>
      <c r="BM8" s="14">
        <f>VLOOKUP($BK8,$V8:$AD11,3,FALSE)</f>
        <v>1</v>
      </c>
      <c r="BN8" s="14">
        <f>VLOOKUP($BK8,$V8:$AD11,4,FALSE)</f>
        <v>0</v>
      </c>
      <c r="BO8" s="14">
        <f>VLOOKUP($BK8,$V8:$AD11,5,FALSE)</f>
        <v>2</v>
      </c>
      <c r="BP8" s="14">
        <f>VLOOKUP($BK8,$V8:$AD11,6,FALSE)</f>
        <v>6</v>
      </c>
      <c r="BQ8" s="14">
        <f>VLOOKUP($BK8,$V8:$AD11,7,FALSE)</f>
        <v>0</v>
      </c>
      <c r="BR8" s="14">
        <f>VLOOKUP($BK8,$V8:$AD11,8,FALSE)</f>
        <v>6</v>
      </c>
      <c r="BS8" s="14">
        <f>VLOOKUP($BK8,$V8:$AD11,9,FALSE)</f>
        <v>5</v>
      </c>
    </row>
    <row r="9" spans="1:71" ht="13.5" customHeight="1" thickBot="1">
      <c r="A9" s="26">
        <v>26</v>
      </c>
      <c r="B9" s="33">
        <v>3</v>
      </c>
      <c r="C9" s="34" t="str">
        <f>'Chaves 3a.Fase'!B2</f>
        <v>ALESSANDRO</v>
      </c>
      <c r="D9" s="49">
        <v>0</v>
      </c>
      <c r="E9" s="48">
        <v>0</v>
      </c>
      <c r="F9" s="44" t="str">
        <f>'Chaves 3a.Fase'!B5</f>
        <v>JOSÉ</v>
      </c>
      <c r="G9" s="54" t="str">
        <f>'Carnet 2a.Fase'!L30</f>
        <v>BRENO</v>
      </c>
      <c r="I9" s="14" t="str">
        <f t="shared" si="1"/>
        <v>Draw</v>
      </c>
      <c r="J9" s="14" t="str">
        <f t="shared" si="2"/>
        <v>Draw</v>
      </c>
      <c r="L9" s="37" t="str">
        <f>BK11</f>
        <v>BRANDÃO</v>
      </c>
      <c r="M9" s="38">
        <f t="shared" si="0"/>
        <v>3</v>
      </c>
      <c r="N9" s="38">
        <f t="shared" si="0"/>
        <v>0</v>
      </c>
      <c r="O9" s="38">
        <f t="shared" si="0"/>
        <v>3</v>
      </c>
      <c r="P9" s="38">
        <f t="shared" si="0"/>
        <v>0</v>
      </c>
      <c r="Q9" s="38">
        <f t="shared" si="0"/>
        <v>1</v>
      </c>
      <c r="R9" s="38">
        <f t="shared" si="0"/>
        <v>10</v>
      </c>
      <c r="S9" s="38">
        <f t="shared" si="0"/>
        <v>-9</v>
      </c>
      <c r="T9" s="39">
        <f t="shared" si="0"/>
        <v>0</v>
      </c>
      <c r="V9" s="14" t="str">
        <f>'Chaves 3a.Fase'!A3</f>
        <v>ROBSON</v>
      </c>
      <c r="W9" s="14">
        <f>COUNT(GEVI_JOGOS)</f>
        <v>3</v>
      </c>
      <c r="X9" s="14">
        <f>COUNTIF(Groupstage_Winne,'Chaves 3a.Fase'!A3)</f>
        <v>1</v>
      </c>
      <c r="Y9" s="14">
        <f>COUNTIF(Groupstage_Lose,'Chaves 3a.Fase'!A3)</f>
        <v>0</v>
      </c>
      <c r="Z9" s="14">
        <f>W9-(X9+Y9)</f>
        <v>2</v>
      </c>
      <c r="AA9" s="14">
        <f>SUM(GEVI_JOGOS)</f>
        <v>1</v>
      </c>
      <c r="AB9" s="14">
        <f>SUM(GEVI_ADV)</f>
        <v>0</v>
      </c>
      <c r="AC9" s="14">
        <f>AA9-AB9</f>
        <v>1</v>
      </c>
      <c r="AD9" s="14">
        <f>X9*Winpoints+Z9*Drawpoints</f>
        <v>5</v>
      </c>
      <c r="AE9" s="14" t="str">
        <f>IF($AD9&lt;=$AD8,$V9,$V8)</f>
        <v>ROBSON</v>
      </c>
      <c r="AF9" s="14">
        <f>VLOOKUP($AE9,$V8:$AD11,9,FALSE)</f>
        <v>5</v>
      </c>
      <c r="AG9" s="14" t="str">
        <f>IF(AF9&gt;=AF11,AE9,AE11)</f>
        <v>ROBSON</v>
      </c>
      <c r="AH9" s="14">
        <f>VLOOKUP($AG9,$V8:$AD11,9,FALSE)</f>
        <v>5</v>
      </c>
      <c r="AI9" s="14" t="str">
        <f>IF($AH9&gt;=$AH10,$AG9,$AG10)</f>
        <v>ROBSON</v>
      </c>
      <c r="AJ9" s="14">
        <f>VLOOKUP($AI9,$V8:$AD11,9,FALSE)</f>
        <v>5</v>
      </c>
      <c r="AK9" s="14">
        <f>VLOOKUP($AI9,$V8:$AD11,8,FALSE)</f>
        <v>1</v>
      </c>
      <c r="AL9" s="14" t="str">
        <f>IF(AND($AJ8=$AJ9,$AK9&gt;$AK8),$AI8,$AI9)</f>
        <v>ROBSON</v>
      </c>
      <c r="AM9" s="14">
        <f>VLOOKUP($AL9,$V8:$AD11,9,FALSE)</f>
        <v>5</v>
      </c>
      <c r="AN9" s="14">
        <f>VLOOKUP($AL9,$V8:$AD11,8,FALSE)</f>
        <v>1</v>
      </c>
      <c r="AO9" s="14" t="str">
        <f>IF(AND($AM9=$AM11,$AN11&gt;$AN9),$AL11,$AL9)</f>
        <v>ROBSON</v>
      </c>
      <c r="AP9" s="14">
        <f>VLOOKUP($AO9,$V8:$AD11,9,FALSE)</f>
        <v>5</v>
      </c>
      <c r="AQ9" s="14">
        <f>VLOOKUP($AO9,$V8:$AD11,8,FALSE)</f>
        <v>1</v>
      </c>
      <c r="AR9" s="14" t="str">
        <f>IF(AND($AP9=$AP10,$AQ10&gt;$AQ9),$AO10,$AO9)</f>
        <v>FELIPE</v>
      </c>
      <c r="AS9" s="14">
        <f>VLOOKUP($AR9,$V8:$AD11,9,FALSE)</f>
        <v>5</v>
      </c>
      <c r="AT9" s="14">
        <f>VLOOKUP($AR9,$V8:$AD11,8,FALSE)</f>
        <v>2</v>
      </c>
      <c r="AU9" s="14">
        <f>VLOOKUP($AR9,$V8:$AD11,6,FALSE)</f>
        <v>3</v>
      </c>
      <c r="AV9" s="14" t="str">
        <f>IF(AND($AS8=$AS9,$AT8=$AT9,$AU9&gt;$AU8),$AR8,$AR9)</f>
        <v>FELIPE</v>
      </c>
      <c r="AW9" s="14">
        <f>VLOOKUP($AV9,$V8:$AD11,9,FALSE)</f>
        <v>5</v>
      </c>
      <c r="AX9" s="14">
        <f>VLOOKUP($AV9,$V8:$AD11,8,FALSE)</f>
        <v>2</v>
      </c>
      <c r="AY9" s="14">
        <f>VLOOKUP($AV9,$V8:$AD11,6,FALSE)</f>
        <v>3</v>
      </c>
      <c r="AZ9" s="14" t="str">
        <f>IF(AND($AW9=$AW11,$AX9=$AX11,$AY11&gt;$AY9),$AV11,$AV9)</f>
        <v>FELIPE</v>
      </c>
      <c r="BA9" s="14">
        <f>VLOOKUP($AZ9,$V8:$AD11,9,FALSE)</f>
        <v>5</v>
      </c>
      <c r="BB9" s="14">
        <f>VLOOKUP($AZ9,$V8:$AD11,8,FALSE)</f>
        <v>2</v>
      </c>
      <c r="BC9" s="14">
        <f>VLOOKUP($AZ9,$V8:$AD11,6,FALSE)</f>
        <v>3</v>
      </c>
      <c r="BD9" s="14" t="str">
        <f>IF(AND($BA9=$BA10,$BB9=$BB10,$BC10&gt;$BC9),$AZ10,$AZ9)</f>
        <v>FELIPE</v>
      </c>
      <c r="BE9" s="14">
        <f>VLOOKUP($BD9,$V8:$AD11,9,FALSE)</f>
        <v>5</v>
      </c>
      <c r="BF9" s="14">
        <f>VLOOKUP($BD9,$V8:$AD11,8,FALSE)</f>
        <v>2</v>
      </c>
      <c r="BG9" s="14">
        <f>VLOOKUP($BD9,$V8:$AD11,6,FALSE)</f>
        <v>3</v>
      </c>
      <c r="BK9" s="14" t="str">
        <f>BD9</f>
        <v>FELIPE</v>
      </c>
      <c r="BL9" s="14">
        <f>VLOOKUP($BK9,$V8:$AD11,2,FALSE)</f>
        <v>3</v>
      </c>
      <c r="BM9" s="14">
        <f>VLOOKUP($BK9,$V8:$AD11,3,FALSE)</f>
        <v>1</v>
      </c>
      <c r="BN9" s="14">
        <f>VLOOKUP($BK9,$V8:$AD11,4,FALSE)</f>
        <v>0</v>
      </c>
      <c r="BO9" s="14">
        <f>VLOOKUP($BK9,$V8:$AD11,5,FALSE)</f>
        <v>2</v>
      </c>
      <c r="BP9" s="14">
        <f>VLOOKUP($BK9,$V8:$AD11,6,FALSE)</f>
        <v>3</v>
      </c>
      <c r="BQ9" s="14">
        <f>VLOOKUP($BK9,$V8:$AD11,7,FALSE)</f>
        <v>1</v>
      </c>
      <c r="BR9" s="14">
        <f>VLOOKUP($BK9,$V8:$AD11,8,FALSE)</f>
        <v>2</v>
      </c>
      <c r="BS9" s="14">
        <f>VLOOKUP($BK9,$V8:$AD11,9,FALSE)</f>
        <v>5</v>
      </c>
    </row>
    <row r="10" spans="1:71" ht="13.5" customHeight="1" thickBot="1">
      <c r="A10" s="26">
        <v>26</v>
      </c>
      <c r="B10" s="33">
        <v>4</v>
      </c>
      <c r="C10" s="34" t="str">
        <f>'Chaves 3a.Fase'!B3</f>
        <v>VINÍCIUS</v>
      </c>
      <c r="D10" s="49">
        <v>2</v>
      </c>
      <c r="E10" s="48">
        <v>1</v>
      </c>
      <c r="F10" s="44" t="str">
        <f>'Chaves 3a.Fase'!B4</f>
        <v>LEANDRINHO</v>
      </c>
      <c r="G10" s="54" t="str">
        <f>'Carnet 2a.Fase'!L37</f>
        <v>MICHEL</v>
      </c>
      <c r="I10" s="14" t="str">
        <f t="shared" si="1"/>
        <v>VINÍCIUS</v>
      </c>
      <c r="J10" s="14" t="str">
        <f t="shared" si="2"/>
        <v>LEANDRINHO</v>
      </c>
      <c r="V10" s="14" t="str">
        <f>'Chaves 3a.Fase'!A4</f>
        <v>BRANDÃO</v>
      </c>
      <c r="W10" s="14">
        <f>COUNT(ASURVIC_JOGOS)</f>
        <v>3</v>
      </c>
      <c r="X10" s="14">
        <f>COUNTIF(Groupstage_Winne,'Chaves 3a.Fase'!A4)</f>
        <v>0</v>
      </c>
      <c r="Y10" s="14">
        <f>COUNTIF(Groupstage_Lose,'Chaves 3a.Fase'!A4)</f>
        <v>3</v>
      </c>
      <c r="Z10" s="14">
        <f>W10-(X10+Y10)</f>
        <v>0</v>
      </c>
      <c r="AA10" s="14">
        <f>SUM(ASURVIC_JOGOS)</f>
        <v>1</v>
      </c>
      <c r="AB10" s="14">
        <f>SUM(ASURVIC_ADV)</f>
        <v>10</v>
      </c>
      <c r="AC10" s="14">
        <f>AA10-AB10</f>
        <v>-9</v>
      </c>
      <c r="AD10" s="14">
        <f>X10*Winpoints+Z10*Drawpoints</f>
        <v>0</v>
      </c>
      <c r="AE10" s="14" t="str">
        <f>IF($AD10&gt;=$AD11,$V10,$V11)</f>
        <v>FELIPE</v>
      </c>
      <c r="AF10" s="14">
        <f>VLOOKUP($AE10,$V8:$AD11,9,FALSE)</f>
        <v>5</v>
      </c>
      <c r="AG10" s="14" t="str">
        <f>IF($AF10&lt;=$AF8,$AE10,$AE8)</f>
        <v>FELIPE</v>
      </c>
      <c r="AH10" s="14">
        <f>VLOOKUP($AG10,$V8:$AD11,9,FALSE)</f>
        <v>5</v>
      </c>
      <c r="AI10" s="14" t="str">
        <f>IF($AH10&lt;=$AH9,$AG10,$AG9)</f>
        <v>FELIPE</v>
      </c>
      <c r="AJ10" s="14">
        <f>VLOOKUP($AI10,$V8:$AD11,9,FALSE)</f>
        <v>5</v>
      </c>
      <c r="AK10" s="14">
        <f>VLOOKUP($AI10,$V8:$AD11,8,FALSE)</f>
        <v>2</v>
      </c>
      <c r="AL10" s="14" t="str">
        <f>IF(AND($AJ10=$AJ11,$AK11&gt;$AK10),$AI11,$AI10)</f>
        <v>FELIPE</v>
      </c>
      <c r="AM10" s="14">
        <f>VLOOKUP($AL10,$V8:$AD11,9,FALSE)</f>
        <v>5</v>
      </c>
      <c r="AN10" s="14">
        <f>VLOOKUP($AL10,$V8:$AD11,8,FALSE)</f>
        <v>2</v>
      </c>
      <c r="AO10" s="14" t="str">
        <f>IF(AND($AM8=$AM10,$AN10&gt;$AN8),$AL8,$AL10)</f>
        <v>FELIPE</v>
      </c>
      <c r="AP10" s="14">
        <f>VLOOKUP($AO10,$V8:$AD11,9,FALSE)</f>
        <v>5</v>
      </c>
      <c r="AQ10" s="14">
        <f>VLOOKUP($AO10,$V8:$AD11,8,FALSE)</f>
        <v>2</v>
      </c>
      <c r="AR10" s="14" t="str">
        <f>IF(AND($AP9=$AP10,$AQ10&gt;$AQ9),$AO9,$AO10)</f>
        <v>ROBSON</v>
      </c>
      <c r="AS10" s="14">
        <f>VLOOKUP($AR10,$V8:$AD11,9,FALSE)</f>
        <v>5</v>
      </c>
      <c r="AT10" s="14">
        <f>VLOOKUP($AR10,$V8:$AD11,8,FALSE)</f>
        <v>1</v>
      </c>
      <c r="AU10" s="14">
        <f>VLOOKUP($AR10,$V8:$AD11,6,FALSE)</f>
        <v>1</v>
      </c>
      <c r="AV10" s="14" t="str">
        <f>IF(AND($AS10=$AS11,$AT10=$AT11,$AU11&gt;$AU10),$AR11,$AR10)</f>
        <v>ROBSON</v>
      </c>
      <c r="AW10" s="14">
        <f>VLOOKUP($AV10,$V8:$AD11,9,FALSE)</f>
        <v>5</v>
      </c>
      <c r="AX10" s="14">
        <f>VLOOKUP($AV10,$V8:$AD11,8,FALSE)</f>
        <v>1</v>
      </c>
      <c r="AY10" s="14">
        <f>VLOOKUP($AV10,$V8:$AD11,6,FALSE)</f>
        <v>1</v>
      </c>
      <c r="AZ10" s="14" t="str">
        <f>IF(AND($AW8=$AW10,$AX8=$AX10,$AY10&gt;$AY8),$AV8,$AV10)</f>
        <v>ROBSON</v>
      </c>
      <c r="BA10" s="14">
        <f>VLOOKUP($AZ10,$V8:$AD11,9,FALSE)</f>
        <v>5</v>
      </c>
      <c r="BB10" s="14">
        <f>VLOOKUP($AZ10,$V8:$AD11,8,FALSE)</f>
        <v>1</v>
      </c>
      <c r="BC10" s="14">
        <f>VLOOKUP($AZ10,$V8:$AD11,6,FALSE)</f>
        <v>1</v>
      </c>
      <c r="BD10" s="14" t="str">
        <f>IF(AND($BA9=$BA10,$BB9=$BB10,$BC10&gt;$BC9),$AZ9,$AZ10)</f>
        <v>ROBSON</v>
      </c>
      <c r="BE10" s="14">
        <f>VLOOKUP($BD10,$V8:$AD11,9,FALSE)</f>
        <v>5</v>
      </c>
      <c r="BF10" s="14">
        <f>VLOOKUP($BD10,$V8:$AD11,8,FALSE)</f>
        <v>1</v>
      </c>
      <c r="BG10" s="14">
        <f>VLOOKUP($BD10,$V8:$AD11,6,FALSE)</f>
        <v>1</v>
      </c>
      <c r="BK10" s="14" t="str">
        <f>BD10</f>
        <v>ROBSON</v>
      </c>
      <c r="BL10" s="14">
        <f>VLOOKUP($BK10,$V8:$AD11,2,FALSE)</f>
        <v>3</v>
      </c>
      <c r="BM10" s="14">
        <f>VLOOKUP($BK10,$V8:$AD11,3,FALSE)</f>
        <v>1</v>
      </c>
      <c r="BN10" s="14">
        <f>VLOOKUP($BK10,$V8:$AD11,4,FALSE)</f>
        <v>0</v>
      </c>
      <c r="BO10" s="14">
        <f>VLOOKUP($BK10,$V8:$AD11,5,FALSE)</f>
        <v>2</v>
      </c>
      <c r="BP10" s="14">
        <f>VLOOKUP($BK10,$V8:$AD11,6,FALSE)</f>
        <v>1</v>
      </c>
      <c r="BQ10" s="14">
        <f>VLOOKUP($BK10,$V8:$AD11,7,FALSE)</f>
        <v>0</v>
      </c>
      <c r="BR10" s="14">
        <f>VLOOKUP($BK10,$V8:$AD11,8,FALSE)</f>
        <v>1</v>
      </c>
      <c r="BS10" s="14">
        <f>VLOOKUP($BK10,$V8:$AD11,9,FALSE)</f>
        <v>5</v>
      </c>
    </row>
    <row r="11" spans="1:71" ht="13.5" customHeight="1" thickBot="1">
      <c r="A11" s="26">
        <v>27</v>
      </c>
      <c r="B11" s="33">
        <v>5</v>
      </c>
      <c r="C11" s="34" t="str">
        <f>'Chaves 3a.Fase'!C2</f>
        <v>ALEX</v>
      </c>
      <c r="D11" s="49">
        <v>2</v>
      </c>
      <c r="E11" s="48">
        <v>1</v>
      </c>
      <c r="F11" s="44" t="str">
        <f>'Chaves 3a.Fase'!C5</f>
        <v>JONI</v>
      </c>
      <c r="G11" s="54" t="str">
        <f>'Carnet 2a.Fase'!L44</f>
        <v>MARQUINHO</v>
      </c>
      <c r="I11" s="14" t="str">
        <f t="shared" si="1"/>
        <v>ALEX</v>
      </c>
      <c r="J11" s="14" t="str">
        <f t="shared" si="2"/>
        <v>JONI</v>
      </c>
      <c r="L11" s="19" t="s">
        <v>172</v>
      </c>
      <c r="M11" s="20"/>
      <c r="N11" s="20"/>
      <c r="O11" s="20"/>
      <c r="P11" s="20"/>
      <c r="Q11" s="20"/>
      <c r="R11" s="20"/>
      <c r="S11" s="20"/>
      <c r="T11" s="21"/>
      <c r="V11" s="14" t="str">
        <f>'Chaves 3a.Fase'!A5</f>
        <v>FELIPE</v>
      </c>
      <c r="W11" s="14">
        <f>COUNT(RIOCELL_JOGOS)</f>
        <v>3</v>
      </c>
      <c r="X11" s="14">
        <f>COUNTIF(Groupstage_Winne,'Chaves 3a.Fase'!A5)</f>
        <v>1</v>
      </c>
      <c r="Y11" s="14">
        <f>COUNTIF(Groupstage_Lose,'Chaves 3a.Fase'!A5)</f>
        <v>0</v>
      </c>
      <c r="Z11" s="14">
        <f>W11-(X11+Y11)</f>
        <v>2</v>
      </c>
      <c r="AA11" s="14">
        <f>SUM(RIOCELL_JOGOS)</f>
        <v>3</v>
      </c>
      <c r="AB11" s="14">
        <f>SUM(RIOCELL_ADV)</f>
        <v>1</v>
      </c>
      <c r="AC11" s="14">
        <f>AA11-AB11</f>
        <v>2</v>
      </c>
      <c r="AD11" s="14">
        <f>X11*Winpoints+Z11*Drawpoints</f>
        <v>5</v>
      </c>
      <c r="AE11" s="14" t="str">
        <f>IF($AD11&lt;=$AD10,$V11,$V10)</f>
        <v>BRANDÃO</v>
      </c>
      <c r="AF11" s="14">
        <f>VLOOKUP($AE11,$V8:$AD11,9,FALSE)</f>
        <v>0</v>
      </c>
      <c r="AG11" s="14" t="str">
        <f>IF(AF11&lt;=AF9,AE11,AE9)</f>
        <v>BRANDÃO</v>
      </c>
      <c r="AH11" s="14">
        <f>VLOOKUP($AG11,$V8:$AD11,9,FALSE)</f>
        <v>0</v>
      </c>
      <c r="AI11" s="14" t="str">
        <f>IF($AH11&lt;=$AH8,$AG11,$AG8)</f>
        <v>BRANDÃO</v>
      </c>
      <c r="AJ11" s="14">
        <f>VLOOKUP($AI11,$V8:$AD11,9,FALSE)</f>
        <v>0</v>
      </c>
      <c r="AK11" s="14">
        <f>VLOOKUP($AI11,$V8:$AD11,8,FALSE)</f>
        <v>-9</v>
      </c>
      <c r="AL11" s="14" t="str">
        <f>IF(AND($AJ10=$AJ11,$AK11&gt;$AK10),$AI10,$AI11)</f>
        <v>BRANDÃO</v>
      </c>
      <c r="AM11" s="14">
        <f>VLOOKUP($AL11,$V8:$AD11,9,FALSE)</f>
        <v>0</v>
      </c>
      <c r="AN11" s="14">
        <f>VLOOKUP($AL11,$V8:$AD11,8,FALSE)</f>
        <v>-9</v>
      </c>
      <c r="AO11" s="14" t="str">
        <f>IF(AND($AM9=$AM11,$AN11&gt;$AN9),$AL9,$AL11)</f>
        <v>BRANDÃO</v>
      </c>
      <c r="AP11" s="14">
        <f>VLOOKUP($AO11,$V8:$AD11,9,FALSE)</f>
        <v>0</v>
      </c>
      <c r="AQ11" s="14">
        <f>VLOOKUP($AO11,$V8:$AD11,8,FALSE)</f>
        <v>-9</v>
      </c>
      <c r="AR11" s="14" t="str">
        <f>IF(AND($AP8=$AP11,$AQ11&gt;$AQ8),$AO8,$AO11)</f>
        <v>BRANDÃO</v>
      </c>
      <c r="AS11" s="14">
        <f>VLOOKUP($AR11,$V8:$AD11,9,FALSE)</f>
        <v>0</v>
      </c>
      <c r="AT11" s="14">
        <f>VLOOKUP($AR11,$V8:$AD11,8,FALSE)</f>
        <v>-9</v>
      </c>
      <c r="AU11" s="14">
        <f>VLOOKUP($AR11,$V8:$AD11,6,FALSE)</f>
        <v>1</v>
      </c>
      <c r="AV11" s="14" t="str">
        <f>IF(AND($AS10=$AS11,$AT10=$AT11,$AU11&gt;$AU10),$AR10,$AR11)</f>
        <v>BRANDÃO</v>
      </c>
      <c r="AW11" s="14">
        <f>VLOOKUP($AV11,$V8:$AD11,9,FALSE)</f>
        <v>0</v>
      </c>
      <c r="AX11" s="14">
        <f>VLOOKUP($AV11,$V8:$AD11,8,FALSE)</f>
        <v>-9</v>
      </c>
      <c r="AY11" s="14">
        <f>VLOOKUP($AV11,$V8:$AD11,6,FALSE)</f>
        <v>1</v>
      </c>
      <c r="AZ11" s="14" t="str">
        <f>IF(AND($AW9=$AW11,$AX9=$AX11,$AY11&gt;$AY9),$AV9,$AV11)</f>
        <v>BRANDÃO</v>
      </c>
      <c r="BA11" s="14">
        <f>VLOOKUP($AZ11,$V8:$AD11,9,FALSE)</f>
        <v>0</v>
      </c>
      <c r="BB11" s="14">
        <f>VLOOKUP($AZ11,$V8:$AD11,8,FALSE)</f>
        <v>-9</v>
      </c>
      <c r="BC11" s="14">
        <f>VLOOKUP($AZ11,$V8:$AD11,6,FALSE)</f>
        <v>1</v>
      </c>
      <c r="BD11" s="14" t="str">
        <f>IF(AND($BA8=$BA11,$BB8=$BB11,$BC11&gt;$BC8),$AZ8,$AZ11)</f>
        <v>BRANDÃO</v>
      </c>
      <c r="BE11" s="14">
        <f>VLOOKUP($BD11,$V8:$AD11,9,FALSE)</f>
        <v>0</v>
      </c>
      <c r="BF11" s="14">
        <f>VLOOKUP($BD11,$V8:$AD11,8,FALSE)</f>
        <v>-9</v>
      </c>
      <c r="BG11" s="14">
        <f>VLOOKUP($BD11,$V8:$AD11,6,FALSE)</f>
        <v>1</v>
      </c>
      <c r="BK11" s="14" t="str">
        <f>BD11</f>
        <v>BRANDÃO</v>
      </c>
      <c r="BL11" s="14">
        <f>VLOOKUP($BK11,$V8:$AD11,2,FALSE)</f>
        <v>3</v>
      </c>
      <c r="BM11" s="14">
        <f>VLOOKUP($BK11,$V8:$AD11,3,FALSE)</f>
        <v>0</v>
      </c>
      <c r="BN11" s="14">
        <f>VLOOKUP($BK11,$V8:$AD11,4,FALSE)</f>
        <v>3</v>
      </c>
      <c r="BO11" s="14">
        <f>VLOOKUP($BK11,$V8:$AD11,5,FALSE)</f>
        <v>0</v>
      </c>
      <c r="BP11" s="14">
        <f>VLOOKUP($BK11,$V8:$AD11,6,FALSE)</f>
        <v>1</v>
      </c>
      <c r="BQ11" s="14">
        <f>VLOOKUP($BK11,$V8:$AD11,7,FALSE)</f>
        <v>10</v>
      </c>
      <c r="BR11" s="14">
        <f>VLOOKUP($BK11,$V8:$AD11,8,FALSE)</f>
        <v>-9</v>
      </c>
      <c r="BS11" s="14">
        <f>VLOOKUP($BK11,$V8:$AD11,9,FALSE)</f>
        <v>0</v>
      </c>
    </row>
    <row r="12" spans="1:20" ht="13.5" customHeight="1" thickBot="1">
      <c r="A12" s="40">
        <v>27</v>
      </c>
      <c r="B12" s="41">
        <v>6</v>
      </c>
      <c r="C12" s="42" t="str">
        <f>'Chaves 3a.Fase'!C3</f>
        <v>EMERSON</v>
      </c>
      <c r="D12" s="49">
        <v>0</v>
      </c>
      <c r="E12" s="48">
        <v>1</v>
      </c>
      <c r="F12" s="40" t="str">
        <f>'Chaves 3a.Fase'!C4</f>
        <v>NILMAR</v>
      </c>
      <c r="G12" s="42" t="str">
        <f>'Carnet 2a.Fase'!L23</f>
        <v>MALLET</v>
      </c>
      <c r="I12" s="14" t="str">
        <f t="shared" si="1"/>
        <v>NILMAR</v>
      </c>
      <c r="J12" s="14" t="str">
        <f t="shared" si="2"/>
        <v>EMERSON</v>
      </c>
      <c r="L12" s="22"/>
      <c r="M12" s="23" t="s">
        <v>83</v>
      </c>
      <c r="N12" s="23" t="s">
        <v>84</v>
      </c>
      <c r="O12" s="23" t="s">
        <v>85</v>
      </c>
      <c r="P12" s="23" t="s">
        <v>86</v>
      </c>
      <c r="Q12" s="23" t="s">
        <v>87</v>
      </c>
      <c r="R12" s="23" t="s">
        <v>88</v>
      </c>
      <c r="S12" s="23" t="s">
        <v>89</v>
      </c>
      <c r="T12" s="24" t="s">
        <v>90</v>
      </c>
    </row>
    <row r="13" spans="1:22" ht="13.5" customHeight="1" thickBot="1">
      <c r="A13" s="26">
        <v>28</v>
      </c>
      <c r="B13" s="33">
        <v>7</v>
      </c>
      <c r="C13" s="34" t="str">
        <f>'Chaves 3a.Fase'!D2</f>
        <v>ZILBER</v>
      </c>
      <c r="D13" s="49">
        <v>1</v>
      </c>
      <c r="E13" s="48">
        <v>1</v>
      </c>
      <c r="F13" s="44" t="str">
        <f>'Chaves 3a.Fase'!D5</f>
        <v>JOÃO GARIMA</v>
      </c>
      <c r="G13" s="54" t="str">
        <f>'Carnet 2a.Fase'!L51</f>
        <v>OSMAR</v>
      </c>
      <c r="I13" s="14" t="str">
        <f t="shared" si="1"/>
        <v>Draw</v>
      </c>
      <c r="J13" s="14" t="str">
        <f t="shared" si="2"/>
        <v>Draw</v>
      </c>
      <c r="L13" s="25" t="str">
        <f aca="true" t="shared" si="3" ref="L13:T16">BK15</f>
        <v>VINÍCIUS</v>
      </c>
      <c r="M13" s="26">
        <f t="shared" si="3"/>
        <v>3</v>
      </c>
      <c r="N13" s="26">
        <f t="shared" si="3"/>
        <v>2</v>
      </c>
      <c r="O13" s="26">
        <f t="shared" si="3"/>
        <v>1</v>
      </c>
      <c r="P13" s="26">
        <f t="shared" si="3"/>
        <v>0</v>
      </c>
      <c r="Q13" s="26">
        <f t="shared" si="3"/>
        <v>4</v>
      </c>
      <c r="R13" s="26">
        <f t="shared" si="3"/>
        <v>2</v>
      </c>
      <c r="S13" s="26">
        <f t="shared" si="3"/>
        <v>2</v>
      </c>
      <c r="T13" s="27">
        <f t="shared" si="3"/>
        <v>6</v>
      </c>
      <c r="V13" s="14" t="s">
        <v>173</v>
      </c>
    </row>
    <row r="14" spans="1:30" ht="13.5" customHeight="1" thickBot="1">
      <c r="A14" s="26">
        <v>28</v>
      </c>
      <c r="B14" s="33">
        <v>8</v>
      </c>
      <c r="C14" s="34" t="str">
        <f>'Chaves 3a.Fase'!D3</f>
        <v>ELISANDRO</v>
      </c>
      <c r="D14" s="49">
        <v>2</v>
      </c>
      <c r="E14" s="48">
        <v>0</v>
      </c>
      <c r="F14" s="44" t="str">
        <f>'Chaves 3a.Fase'!D4</f>
        <v>PAIM</v>
      </c>
      <c r="G14" s="54" t="str">
        <f>'Carnet 2a.Fase'!L58</f>
        <v>DIOGO MALLET</v>
      </c>
      <c r="I14" s="14" t="str">
        <f t="shared" si="1"/>
        <v>ELISANDRO</v>
      </c>
      <c r="J14" s="14" t="str">
        <f t="shared" si="2"/>
        <v>PAIM</v>
      </c>
      <c r="L14" s="25" t="str">
        <f t="shared" si="3"/>
        <v>ALESSANDRO</v>
      </c>
      <c r="M14" s="26">
        <f t="shared" si="3"/>
        <v>3</v>
      </c>
      <c r="N14" s="26">
        <f t="shared" si="3"/>
        <v>1</v>
      </c>
      <c r="O14" s="26">
        <f t="shared" si="3"/>
        <v>0</v>
      </c>
      <c r="P14" s="26">
        <f t="shared" si="3"/>
        <v>2</v>
      </c>
      <c r="Q14" s="26">
        <f t="shared" si="3"/>
        <v>1</v>
      </c>
      <c r="R14" s="26">
        <f t="shared" si="3"/>
        <v>0</v>
      </c>
      <c r="S14" s="26">
        <f t="shared" si="3"/>
        <v>1</v>
      </c>
      <c r="T14" s="27">
        <f t="shared" si="3"/>
        <v>5</v>
      </c>
      <c r="W14" s="14" t="s">
        <v>107</v>
      </c>
      <c r="X14" s="14" t="s">
        <v>108</v>
      </c>
      <c r="Y14" s="14" t="s">
        <v>109</v>
      </c>
      <c r="Z14" s="14" t="s">
        <v>85</v>
      </c>
      <c r="AA14" s="14" t="s">
        <v>110</v>
      </c>
      <c r="AB14" s="14" t="s">
        <v>111</v>
      </c>
      <c r="AC14" s="14" t="s">
        <v>112</v>
      </c>
      <c r="AD14" s="14" t="s">
        <v>113</v>
      </c>
    </row>
    <row r="15" spans="1:71" ht="15" customHeight="1" thickBot="1">
      <c r="A15" s="74" t="s">
        <v>174</v>
      </c>
      <c r="B15" s="74"/>
      <c r="C15" s="74"/>
      <c r="D15" s="74"/>
      <c r="E15" s="74"/>
      <c r="F15" s="74"/>
      <c r="G15" s="74"/>
      <c r="H15" s="74"/>
      <c r="L15" s="25" t="str">
        <f t="shared" si="3"/>
        <v>LEANDRINHO</v>
      </c>
      <c r="M15" s="26">
        <f t="shared" si="3"/>
        <v>3</v>
      </c>
      <c r="N15" s="26">
        <f t="shared" si="3"/>
        <v>0</v>
      </c>
      <c r="O15" s="26">
        <f t="shared" si="3"/>
        <v>1</v>
      </c>
      <c r="P15" s="26">
        <f t="shared" si="3"/>
        <v>2</v>
      </c>
      <c r="Q15" s="26">
        <f t="shared" si="3"/>
        <v>2</v>
      </c>
      <c r="R15" s="26">
        <f t="shared" si="3"/>
        <v>3</v>
      </c>
      <c r="S15" s="26">
        <f t="shared" si="3"/>
        <v>-1</v>
      </c>
      <c r="T15" s="27">
        <f t="shared" si="3"/>
        <v>2</v>
      </c>
      <c r="V15" s="14" t="str">
        <f>'Chaves 3a.Fase'!B2</f>
        <v>ALESSANDRO</v>
      </c>
      <c r="W15" s="14">
        <f>COUNT(ARFM_JOGOS)</f>
        <v>3</v>
      </c>
      <c r="X15" s="14">
        <f>COUNTIF(Groupstage_Winne,'Chaves 3a.Fase'!B2)</f>
        <v>1</v>
      </c>
      <c r="Y15" s="14">
        <f>COUNTIF(Groupstage_Lose,'Chaves 3a.Fase'!B2)</f>
        <v>0</v>
      </c>
      <c r="Z15" s="14">
        <f>W15-(X15+Y15)</f>
        <v>2</v>
      </c>
      <c r="AA15" s="14">
        <f>SUM(ARFM_JOGOS)</f>
        <v>1</v>
      </c>
      <c r="AB15" s="14">
        <f>SUM(ARFM_ADV)</f>
        <v>0</v>
      </c>
      <c r="AC15" s="14">
        <f>AA15-AB15</f>
        <v>1</v>
      </c>
      <c r="AD15" s="14">
        <f>X15*Winpoints+Z15*Drawpoints</f>
        <v>5</v>
      </c>
      <c r="AE15" s="14" t="str">
        <f>IF($AD15&gt;=$AD16,$V15,$V16)</f>
        <v>VINÍCIUS</v>
      </c>
      <c r="AF15" s="14">
        <f>VLOOKUP($AE15,$V15:$AD18,9,FALSE)</f>
        <v>6</v>
      </c>
      <c r="AG15" s="14" t="str">
        <f>IF($AF15&gt;=$AF17,$AE15,$AE17)</f>
        <v>VINÍCIUS</v>
      </c>
      <c r="AH15" s="14">
        <f>VLOOKUP($AG15,$V15:$AD18,9,FALSE)</f>
        <v>6</v>
      </c>
      <c r="AI15" s="14" t="str">
        <f>IF($AH15&gt;=$AH18,$AG15,$AG18)</f>
        <v>VINÍCIUS</v>
      </c>
      <c r="AJ15" s="14">
        <f>VLOOKUP($AI15,$V15:$AD18,9,FALSE)</f>
        <v>6</v>
      </c>
      <c r="AK15" s="14">
        <f>VLOOKUP($AI15,$V15:$AD18,8,FALSE)</f>
        <v>2</v>
      </c>
      <c r="AL15" s="14" t="str">
        <f>IF(AND($AJ15=$AJ16,$AK16&gt;$AK15),$AI16,$AI15)</f>
        <v>VINÍCIUS</v>
      </c>
      <c r="AM15" s="14">
        <f>VLOOKUP($AL15,$V15:$AD18,9,FALSE)</f>
        <v>6</v>
      </c>
      <c r="AN15" s="14">
        <f>VLOOKUP($AL15,$V15:$AD18,8,FALSE)</f>
        <v>2</v>
      </c>
      <c r="AO15" s="14" t="str">
        <f>IF(AND($AM15=$AM17,$AN17&gt;$AN15),$AL17,$AL15)</f>
        <v>VINÍCIUS</v>
      </c>
      <c r="AP15" s="14">
        <f>VLOOKUP($AO15,$V15:$AD18,9,FALSE)</f>
        <v>6</v>
      </c>
      <c r="AQ15" s="14">
        <f>VLOOKUP($AO15,$V15:$AD18,8,FALSE)</f>
        <v>2</v>
      </c>
      <c r="AR15" s="14" t="str">
        <f>IF(AND($AP15=$AP18,$AQ18&gt;$AQ15),$AO18,$AO15)</f>
        <v>VINÍCIUS</v>
      </c>
      <c r="AS15" s="14">
        <f>VLOOKUP($AR15,$V15:$AD18,9,FALSE)</f>
        <v>6</v>
      </c>
      <c r="AT15" s="14">
        <f>VLOOKUP($AR15,$V15:$AD18,8,FALSE)</f>
        <v>2</v>
      </c>
      <c r="AU15" s="14">
        <f>VLOOKUP($AR15,$V15:$AD18,6,FALSE)</f>
        <v>4</v>
      </c>
      <c r="AV15" s="14" t="str">
        <f>IF(AND($AS15=$AS16,$AT15=$AT16,$AU16&gt;$AU15),$AR16,$AR15)</f>
        <v>VINÍCIUS</v>
      </c>
      <c r="AW15" s="14">
        <f>VLOOKUP($AV15,$V15:$AD18,9,FALSE)</f>
        <v>6</v>
      </c>
      <c r="AX15" s="14">
        <f>VLOOKUP($AV15,$V15:$AD18,8,FALSE)</f>
        <v>2</v>
      </c>
      <c r="AY15" s="14">
        <f>VLOOKUP($AV15,$V15:$AD18,6,FALSE)</f>
        <v>4</v>
      </c>
      <c r="AZ15" s="14" t="str">
        <f>IF(AND($AW15=$AW17,$AX15=$AX17,$AY17&gt;$AY15),$AV17,$AV15)</f>
        <v>VINÍCIUS</v>
      </c>
      <c r="BA15" s="14">
        <f>VLOOKUP($AZ15,$V15:$AD18,9,FALSE)</f>
        <v>6</v>
      </c>
      <c r="BB15" s="14">
        <f>VLOOKUP($AZ15,$V15:$AD18,8,FALSE)</f>
        <v>2</v>
      </c>
      <c r="BC15" s="14">
        <f>VLOOKUP($AZ15,$V15:$AD18,6,FALSE)</f>
        <v>4</v>
      </c>
      <c r="BD15" s="14" t="str">
        <f>IF(AND($BA15=$BA18,$BB15=$BB18,$BC18&gt;$BC15),$AZ18,$AZ15)</f>
        <v>VINÍCIUS</v>
      </c>
      <c r="BE15" s="14">
        <f>VLOOKUP($BD15,$V15:$AD18,9,FALSE)</f>
        <v>6</v>
      </c>
      <c r="BF15" s="14">
        <f>VLOOKUP($BD15,$V15:$AD18,8,FALSE)</f>
        <v>2</v>
      </c>
      <c r="BG15" s="14">
        <f>VLOOKUP($BD15,$V15:$AD18,6,FALSE)</f>
        <v>4</v>
      </c>
      <c r="BK15" s="14" t="str">
        <f>BD15</f>
        <v>VINÍCIUS</v>
      </c>
      <c r="BL15" s="14">
        <f>VLOOKUP($BK15,$V15:$AD18,2,FALSE)</f>
        <v>3</v>
      </c>
      <c r="BM15" s="14">
        <f>VLOOKUP($BK15,$V15:$AD18,3,FALSE)</f>
        <v>2</v>
      </c>
      <c r="BN15" s="14">
        <f>VLOOKUP($BK15,$V15:$AD18,4,FALSE)</f>
        <v>1</v>
      </c>
      <c r="BO15" s="14">
        <f>VLOOKUP($BK15,$V15:$AD18,5,FALSE)</f>
        <v>0</v>
      </c>
      <c r="BP15" s="14">
        <f>VLOOKUP($BK15,$V15:$AD18,6,FALSE)</f>
        <v>4</v>
      </c>
      <c r="BQ15" s="14">
        <f>VLOOKUP($BK15,$V15:$AD18,7,FALSE)</f>
        <v>2</v>
      </c>
      <c r="BR15" s="14">
        <f>VLOOKUP($BK15,$V15:$AD18,8,FALSE)</f>
        <v>2</v>
      </c>
      <c r="BS15" s="14">
        <f>VLOOKUP($BK15,$V15:$AD18,9,FALSE)</f>
        <v>6</v>
      </c>
    </row>
    <row r="16" spans="1:71" ht="13.5" customHeight="1" thickBot="1">
      <c r="A16" s="26">
        <v>25</v>
      </c>
      <c r="B16" s="33">
        <v>1</v>
      </c>
      <c r="C16" s="34" t="str">
        <f>'Chaves 3a.Fase'!A4</f>
        <v>BRANDÃO</v>
      </c>
      <c r="D16" s="49">
        <v>0</v>
      </c>
      <c r="E16" s="48">
        <v>6</v>
      </c>
      <c r="F16" s="44" t="str">
        <f>'Chaves 3a.Fase'!A2</f>
        <v>SILVIO</v>
      </c>
      <c r="G16" s="54" t="str">
        <f>'Carnet 2a.Fase'!L36</f>
        <v>RODRIGO B.</v>
      </c>
      <c r="I16" s="14" t="str">
        <f t="shared" si="1"/>
        <v>SILVIO</v>
      </c>
      <c r="J16" s="14" t="str">
        <f t="shared" si="2"/>
        <v>BRANDÃO</v>
      </c>
      <c r="L16" s="37" t="str">
        <f t="shared" si="3"/>
        <v>JOSÉ</v>
      </c>
      <c r="M16" s="38">
        <f t="shared" si="3"/>
        <v>3</v>
      </c>
      <c r="N16" s="38">
        <f t="shared" si="3"/>
        <v>0</v>
      </c>
      <c r="O16" s="38">
        <f t="shared" si="3"/>
        <v>1</v>
      </c>
      <c r="P16" s="38">
        <f t="shared" si="3"/>
        <v>2</v>
      </c>
      <c r="Q16" s="38">
        <f t="shared" si="3"/>
        <v>1</v>
      </c>
      <c r="R16" s="38">
        <f t="shared" si="3"/>
        <v>3</v>
      </c>
      <c r="S16" s="38">
        <f t="shared" si="3"/>
        <v>-2</v>
      </c>
      <c r="T16" s="39">
        <f t="shared" si="3"/>
        <v>2</v>
      </c>
      <c r="V16" s="14" t="str">
        <f>'Chaves 3a.Fase'!B3</f>
        <v>VINÍCIUS</v>
      </c>
      <c r="W16" s="14">
        <f>COUNT(AFUMERG_JOGOS)</f>
        <v>3</v>
      </c>
      <c r="X16" s="14">
        <f>COUNTIF(Groupstage_Winne,'Chaves 3a.Fase'!B3)</f>
        <v>2</v>
      </c>
      <c r="Y16" s="14">
        <f>COUNTIF(Groupstage_Lose,'Chaves 3a.Fase'!B3)</f>
        <v>1</v>
      </c>
      <c r="Z16" s="14">
        <f>W16-(X16+Y16)</f>
        <v>0</v>
      </c>
      <c r="AA16" s="14">
        <f>SUM(AFUMERG_JOGOS)</f>
        <v>4</v>
      </c>
      <c r="AB16" s="14">
        <f>SUM(AFUMERG_ADV)</f>
        <v>2</v>
      </c>
      <c r="AC16" s="14">
        <f>AA16-AB16</f>
        <v>2</v>
      </c>
      <c r="AD16" s="14">
        <f>X16*Winpoints+Z16*Drawpoints</f>
        <v>6</v>
      </c>
      <c r="AE16" s="14" t="str">
        <f>IF($AD16&lt;=$AD15,$V16,$V15)</f>
        <v>ALESSANDRO</v>
      </c>
      <c r="AF16" s="14">
        <f>VLOOKUP($AE16,$V15:$AD18,9,FALSE)</f>
        <v>5</v>
      </c>
      <c r="AG16" s="14" t="str">
        <f>IF(AF16&gt;=AF18,AE16,AE18)</f>
        <v>ALESSANDRO</v>
      </c>
      <c r="AH16" s="14">
        <f>VLOOKUP($AG16,$V15:$AD18,9,FALSE)</f>
        <v>5</v>
      </c>
      <c r="AI16" s="14" t="str">
        <f>IF($AH16&gt;=$AH17,$AG16,$AG17)</f>
        <v>ALESSANDRO</v>
      </c>
      <c r="AJ16" s="14">
        <f>VLOOKUP($AI16,$V15:$AD18,9,FALSE)</f>
        <v>5</v>
      </c>
      <c r="AK16" s="14">
        <f>VLOOKUP($AI16,$V15:$AD18,8,FALSE)</f>
        <v>1</v>
      </c>
      <c r="AL16" s="14" t="str">
        <f>IF(AND($AJ15=$AJ16,$AK16&gt;$AK15),$AI15,$AI16)</f>
        <v>ALESSANDRO</v>
      </c>
      <c r="AM16" s="14">
        <f>VLOOKUP($AL16,$V15:$AD18,9,FALSE)</f>
        <v>5</v>
      </c>
      <c r="AN16" s="14">
        <f>VLOOKUP($AL16,$V15:$AD18,8,FALSE)</f>
        <v>1</v>
      </c>
      <c r="AO16" s="14" t="str">
        <f>IF(AND($AM16=$AM18,$AN18&gt;$AN16),$AL18,$AL16)</f>
        <v>ALESSANDRO</v>
      </c>
      <c r="AP16" s="14">
        <f>VLOOKUP($AO16,$V15:$AD18,9,FALSE)</f>
        <v>5</v>
      </c>
      <c r="AQ16" s="14">
        <f>VLOOKUP($AO16,$V15:$AD18,8,FALSE)</f>
        <v>1</v>
      </c>
      <c r="AR16" s="14" t="str">
        <f>IF(AND($AP16=$AP17,$AQ17&gt;$AQ16),$AO17,$AO16)</f>
        <v>ALESSANDRO</v>
      </c>
      <c r="AS16" s="14">
        <f>VLOOKUP($AR16,$V15:$AD18,9,FALSE)</f>
        <v>5</v>
      </c>
      <c r="AT16" s="14">
        <f>VLOOKUP($AR16,$V15:$AD18,8,FALSE)</f>
        <v>1</v>
      </c>
      <c r="AU16" s="14">
        <f>VLOOKUP($AR16,$V15:$AD18,6,FALSE)</f>
        <v>1</v>
      </c>
      <c r="AV16" s="14" t="str">
        <f>IF(AND($AS15=$AS16,$AT15=$AT16,$AU16&gt;$AU15),$AR15,$AR16)</f>
        <v>ALESSANDRO</v>
      </c>
      <c r="AW16" s="14">
        <f>VLOOKUP($AV16,$V15:$AD18,9,FALSE)</f>
        <v>5</v>
      </c>
      <c r="AX16" s="14">
        <f>VLOOKUP($AV16,$V15:$AD18,8,FALSE)</f>
        <v>1</v>
      </c>
      <c r="AY16" s="14">
        <f>VLOOKUP($AV16,$V15:$AD18,6,FALSE)</f>
        <v>1</v>
      </c>
      <c r="AZ16" s="14" t="str">
        <f>IF(AND($AW16=$AW18,$AX16=$AX18,$AY18&gt;$AY16),$AV18,$AV16)</f>
        <v>ALESSANDRO</v>
      </c>
      <c r="BA16" s="14">
        <f>VLOOKUP($AZ16,$V15:$AD18,9,FALSE)</f>
        <v>5</v>
      </c>
      <c r="BB16" s="14">
        <f>VLOOKUP($AZ16,$V15:$AD18,8,FALSE)</f>
        <v>1</v>
      </c>
      <c r="BC16" s="14">
        <f>VLOOKUP($AZ16,$V15:$AD18,6,FALSE)</f>
        <v>1</v>
      </c>
      <c r="BD16" s="14" t="str">
        <f>IF(AND($BA16=$BA17,$BB16=$BB17,$BC17&gt;$BC16),$AZ17,$AZ16)</f>
        <v>ALESSANDRO</v>
      </c>
      <c r="BE16" s="14">
        <f>VLOOKUP($BD16,$V15:$AD18,9,FALSE)</f>
        <v>5</v>
      </c>
      <c r="BF16" s="14">
        <f>VLOOKUP($BD16,$V15:$AD18,8,FALSE)</f>
        <v>1</v>
      </c>
      <c r="BG16" s="14">
        <f>VLOOKUP($BD16,$V15:$AD18,6,FALSE)</f>
        <v>1</v>
      </c>
      <c r="BK16" s="14" t="str">
        <f>BD16</f>
        <v>ALESSANDRO</v>
      </c>
      <c r="BL16" s="14">
        <f>VLOOKUP($BK16,$V15:$AD18,2,FALSE)</f>
        <v>3</v>
      </c>
      <c r="BM16" s="14">
        <f>VLOOKUP($BK16,$V15:$AD18,3,FALSE)</f>
        <v>1</v>
      </c>
      <c r="BN16" s="14">
        <f>VLOOKUP($BK16,$V15:$AD18,4,FALSE)</f>
        <v>0</v>
      </c>
      <c r="BO16" s="14">
        <f>VLOOKUP($BK16,$V15:$AD18,5,FALSE)</f>
        <v>2</v>
      </c>
      <c r="BP16" s="14">
        <f>VLOOKUP($BK16,$V15:$AD18,6,FALSE)</f>
        <v>1</v>
      </c>
      <c r="BQ16" s="14">
        <f>VLOOKUP($BK16,$V15:$AD18,7,FALSE)</f>
        <v>0</v>
      </c>
      <c r="BR16" s="14">
        <f>VLOOKUP($BK16,$V15:$AD18,8,FALSE)</f>
        <v>1</v>
      </c>
      <c r="BS16" s="14">
        <f>VLOOKUP($BK16,$V15:$AD18,9,FALSE)</f>
        <v>5</v>
      </c>
    </row>
    <row r="17" spans="1:71" ht="13.5" customHeight="1" thickBot="1">
      <c r="A17" s="26">
        <v>25</v>
      </c>
      <c r="B17" s="33">
        <v>2</v>
      </c>
      <c r="C17" s="34" t="str">
        <f>'Chaves 3a.Fase'!A5</f>
        <v>FELIPE</v>
      </c>
      <c r="D17" s="49">
        <v>0</v>
      </c>
      <c r="E17" s="48">
        <v>0</v>
      </c>
      <c r="F17" s="44" t="str">
        <f>'Chaves 3a.Fase'!A3</f>
        <v>ROBSON</v>
      </c>
      <c r="G17" s="54" t="str">
        <f>'Carnet 2a.Fase'!L8</f>
        <v>RUI</v>
      </c>
      <c r="I17" s="14" t="str">
        <f t="shared" si="1"/>
        <v>Draw</v>
      </c>
      <c r="J17" s="14" t="str">
        <f t="shared" si="2"/>
        <v>Draw</v>
      </c>
      <c r="V17" s="14" t="str">
        <f>'Chaves 3a.Fase'!B4</f>
        <v>LEANDRINHO</v>
      </c>
      <c r="W17" s="14">
        <f>COUNT(ASVFM_JOGOS)</f>
        <v>3</v>
      </c>
      <c r="X17" s="14">
        <f>COUNTIF(Groupstage_Winne,'Chaves 3a.Fase'!B4)</f>
        <v>0</v>
      </c>
      <c r="Y17" s="14">
        <f>COUNTIF(Groupstage_Lose,'Chaves 3a.Fase'!B4)</f>
        <v>1</v>
      </c>
      <c r="Z17" s="14">
        <f>W17-(X17+Y17)</f>
        <v>2</v>
      </c>
      <c r="AA17" s="14">
        <f>SUM(ASVFM_JOGOS)</f>
        <v>2</v>
      </c>
      <c r="AB17" s="14">
        <f>SUM(ASVFM_ADV)</f>
        <v>3</v>
      </c>
      <c r="AC17" s="14">
        <f>AA17-AB17</f>
        <v>-1</v>
      </c>
      <c r="AD17" s="14">
        <f>X17*Winpoints+Z17*Drawpoints</f>
        <v>2</v>
      </c>
      <c r="AE17" s="14" t="str">
        <f>IF($AD17&gt;=$AD18,$V17,$V18)</f>
        <v>LEANDRINHO</v>
      </c>
      <c r="AF17" s="14">
        <f>VLOOKUP($AE17,$V15:$AD18,9,FALSE)</f>
        <v>2</v>
      </c>
      <c r="AG17" s="14" t="str">
        <f>IF($AF17&lt;=$AF15,$AE17,$AE15)</f>
        <v>LEANDRINHO</v>
      </c>
      <c r="AH17" s="14">
        <f>VLOOKUP($AG17,$V15:$AD18,9,FALSE)</f>
        <v>2</v>
      </c>
      <c r="AI17" s="14" t="str">
        <f>IF($AH17&lt;=$AH16,$AG17,$AG16)</f>
        <v>LEANDRINHO</v>
      </c>
      <c r="AJ17" s="14">
        <f>VLOOKUP($AI17,$V15:$AD18,9,FALSE)</f>
        <v>2</v>
      </c>
      <c r="AK17" s="14">
        <f>VLOOKUP($AI17,$V15:$AD18,8,FALSE)</f>
        <v>-1</v>
      </c>
      <c r="AL17" s="14" t="str">
        <f>IF(AND($AJ17=$AJ18,$AK18&gt;$AK17),$AI18,$AI17)</f>
        <v>LEANDRINHO</v>
      </c>
      <c r="AM17" s="14">
        <f>VLOOKUP($AL17,$V15:$AD18,9,FALSE)</f>
        <v>2</v>
      </c>
      <c r="AN17" s="14">
        <f>VLOOKUP($AL17,$V15:$AD18,8,FALSE)</f>
        <v>-1</v>
      </c>
      <c r="AO17" s="14" t="str">
        <f>IF(AND($AM15=$AM17,$AN17&gt;$AN15),$AL15,$AL17)</f>
        <v>LEANDRINHO</v>
      </c>
      <c r="AP17" s="14">
        <f>VLOOKUP($AO17,$V15:$AD18,9,FALSE)</f>
        <v>2</v>
      </c>
      <c r="AQ17" s="14">
        <f>VLOOKUP($AO17,$V15:$AD18,8,FALSE)</f>
        <v>-1</v>
      </c>
      <c r="AR17" s="14" t="str">
        <f>IF(AND($AP16=$AP17,$AQ17&gt;$AQ16),$AO16,$AO17)</f>
        <v>LEANDRINHO</v>
      </c>
      <c r="AS17" s="14">
        <f>VLOOKUP($AR17,$V15:$AD18,9,FALSE)</f>
        <v>2</v>
      </c>
      <c r="AT17" s="14">
        <f>VLOOKUP($AR17,$V15:$AD18,8,FALSE)</f>
        <v>-1</v>
      </c>
      <c r="AU17" s="14">
        <f>VLOOKUP($AR17,$V15:$AD18,6,FALSE)</f>
        <v>2</v>
      </c>
      <c r="AV17" s="14" t="str">
        <f>IF(AND($AS17=$AS18,$AT17=$AT18,$AU18&gt;$AU17),$AR18,$AR17)</f>
        <v>LEANDRINHO</v>
      </c>
      <c r="AW17" s="14">
        <f>VLOOKUP($AV17,$V15:$AD18,9,FALSE)</f>
        <v>2</v>
      </c>
      <c r="AX17" s="14">
        <f>VLOOKUP($AV17,$V15:$AD18,8,FALSE)</f>
        <v>-1</v>
      </c>
      <c r="AY17" s="14">
        <f>VLOOKUP($AV17,$V15:$AD18,6,FALSE)</f>
        <v>2</v>
      </c>
      <c r="AZ17" s="14" t="str">
        <f>IF(AND($AW15=$AW17,$AX15=$AX17,$AY17&gt;$AY15),$AV15,$AV17)</f>
        <v>LEANDRINHO</v>
      </c>
      <c r="BA17" s="14">
        <f>VLOOKUP($AZ17,$V15:$AD18,9,FALSE)</f>
        <v>2</v>
      </c>
      <c r="BB17" s="14">
        <f>VLOOKUP($AZ17,$V15:$AD18,8,FALSE)</f>
        <v>-1</v>
      </c>
      <c r="BC17" s="14">
        <f>VLOOKUP($AZ17,$V15:$AD18,6,FALSE)</f>
        <v>2</v>
      </c>
      <c r="BD17" s="14" t="str">
        <f>IF(AND($BA16=$BA17,$BB16=$BB17,$BC17&gt;$BC16),$AZ16,$AZ17)</f>
        <v>LEANDRINHO</v>
      </c>
      <c r="BE17" s="14">
        <f>VLOOKUP($BD17,$V15:$AD18,9,FALSE)</f>
        <v>2</v>
      </c>
      <c r="BF17" s="14">
        <f>VLOOKUP($BD17,$V15:$AD18,8,FALSE)</f>
        <v>-1</v>
      </c>
      <c r="BG17" s="14">
        <f>VLOOKUP($BD17,$V15:$AD18,6,FALSE)</f>
        <v>2</v>
      </c>
      <c r="BK17" s="14" t="str">
        <f>BD17</f>
        <v>LEANDRINHO</v>
      </c>
      <c r="BL17" s="14">
        <f>VLOOKUP($BK17,$V15:$AD18,2,FALSE)</f>
        <v>3</v>
      </c>
      <c r="BM17" s="14">
        <f>VLOOKUP($BK17,$V15:$AD18,3,FALSE)</f>
        <v>0</v>
      </c>
      <c r="BN17" s="14">
        <f>VLOOKUP($BK17,$V15:$AD18,4,FALSE)</f>
        <v>1</v>
      </c>
      <c r="BO17" s="14">
        <f>VLOOKUP($BK17,$V15:$AD18,5,FALSE)</f>
        <v>2</v>
      </c>
      <c r="BP17" s="14">
        <f>VLOOKUP($BK17,$V15:$AD18,6,FALSE)</f>
        <v>2</v>
      </c>
      <c r="BQ17" s="14">
        <f>VLOOKUP($BK17,$V15:$AD18,7,FALSE)</f>
        <v>3</v>
      </c>
      <c r="BR17" s="14">
        <f>VLOOKUP($BK17,$V15:$AD18,8,FALSE)</f>
        <v>-1</v>
      </c>
      <c r="BS17" s="14">
        <f>VLOOKUP($BK17,$V15:$AD18,9,FALSE)</f>
        <v>2</v>
      </c>
    </row>
    <row r="18" spans="1:71" ht="13.5" customHeight="1" thickBot="1">
      <c r="A18" s="40">
        <v>26</v>
      </c>
      <c r="B18" s="41">
        <v>3</v>
      </c>
      <c r="C18" s="34" t="str">
        <f>'Chaves 3a.Fase'!B4</f>
        <v>LEANDRINHO</v>
      </c>
      <c r="D18" s="49">
        <v>0</v>
      </c>
      <c r="E18" s="48">
        <v>0</v>
      </c>
      <c r="F18" s="44" t="str">
        <f>'Chaves 3a.Fase'!B2</f>
        <v>ALESSANDRO</v>
      </c>
      <c r="G18" s="42" t="str">
        <f>'Carnet 2a.Fase'!L43</f>
        <v>ELIAS</v>
      </c>
      <c r="I18" s="14" t="str">
        <f t="shared" si="1"/>
        <v>Draw</v>
      </c>
      <c r="J18" s="14" t="str">
        <f t="shared" si="2"/>
        <v>Draw</v>
      </c>
      <c r="L18" s="19" t="s">
        <v>175</v>
      </c>
      <c r="M18" s="20"/>
      <c r="N18" s="20"/>
      <c r="O18" s="20"/>
      <c r="P18" s="20"/>
      <c r="Q18" s="20"/>
      <c r="R18" s="20"/>
      <c r="S18" s="20"/>
      <c r="T18" s="21"/>
      <c r="V18" s="14" t="str">
        <f>'Chaves 3a.Fase'!B5</f>
        <v>JOSÉ</v>
      </c>
      <c r="W18" s="14">
        <f>COUNT(ABP_JOGOS)</f>
        <v>3</v>
      </c>
      <c r="X18" s="14">
        <f>COUNTIF(Groupstage_Winne,'Chaves 3a.Fase'!B5)</f>
        <v>0</v>
      </c>
      <c r="Y18" s="14">
        <f>COUNTIF(Groupstage_Lose,'Chaves 3a.Fase'!B5)</f>
        <v>1</v>
      </c>
      <c r="Z18" s="14">
        <f>W18-(X18+Y18)</f>
        <v>2</v>
      </c>
      <c r="AA18" s="14">
        <f>SUM(ABP_JOGOS)</f>
        <v>1</v>
      </c>
      <c r="AB18" s="14">
        <f>SUM(ABP_ADV)</f>
        <v>3</v>
      </c>
      <c r="AC18" s="14">
        <f>AA18-AB18</f>
        <v>-2</v>
      </c>
      <c r="AD18" s="14">
        <f>X18*Winpoints+Z18*Drawpoints</f>
        <v>2</v>
      </c>
      <c r="AE18" s="14" t="str">
        <f>IF($AD18&lt;=$AD17,$V18,$V17)</f>
        <v>JOSÉ</v>
      </c>
      <c r="AF18" s="14">
        <f>VLOOKUP($AE18,$V15:$AD18,9,FALSE)</f>
        <v>2</v>
      </c>
      <c r="AG18" s="14" t="str">
        <f>IF(AF18&lt;=AF16,AE18,AE16)</f>
        <v>JOSÉ</v>
      </c>
      <c r="AH18" s="14">
        <f>VLOOKUP($AG18,$V15:$AD18,9,FALSE)</f>
        <v>2</v>
      </c>
      <c r="AI18" s="14" t="str">
        <f>IF($AH18&lt;=$AH15,$AG18,$AG15)</f>
        <v>JOSÉ</v>
      </c>
      <c r="AJ18" s="14">
        <f>VLOOKUP($AI18,$V15:$AD18,9,FALSE)</f>
        <v>2</v>
      </c>
      <c r="AK18" s="14">
        <f>VLOOKUP($AI18,$V15:$AD18,8,FALSE)</f>
        <v>-2</v>
      </c>
      <c r="AL18" s="14" t="str">
        <f>IF(AND($AJ17=$AJ18,$AK18&gt;$AK17),$AI17,$AI18)</f>
        <v>JOSÉ</v>
      </c>
      <c r="AM18" s="14">
        <f>VLOOKUP($AL18,$V15:$AD18,9,FALSE)</f>
        <v>2</v>
      </c>
      <c r="AN18" s="14">
        <f>VLOOKUP($AL18,$V15:$AD18,8,FALSE)</f>
        <v>-2</v>
      </c>
      <c r="AO18" s="14" t="str">
        <f>IF(AND($AM16=$AM18,$AN18&gt;$AN16),$AL16,$AL18)</f>
        <v>JOSÉ</v>
      </c>
      <c r="AP18" s="14">
        <f>VLOOKUP($AO18,$V15:$AD18,9,FALSE)</f>
        <v>2</v>
      </c>
      <c r="AQ18" s="14">
        <f>VLOOKUP($AO18,$V15:$AD18,8,FALSE)</f>
        <v>-2</v>
      </c>
      <c r="AR18" s="14" t="str">
        <f>IF(AND($AP15=$AP18,$AQ18&gt;$AQ15),$AO15,$AO18)</f>
        <v>JOSÉ</v>
      </c>
      <c r="AS18" s="14">
        <f>VLOOKUP($AR18,$V15:$AD18,9,FALSE)</f>
        <v>2</v>
      </c>
      <c r="AT18" s="14">
        <f>VLOOKUP($AR18,$V15:$AD18,8,FALSE)</f>
        <v>-2</v>
      </c>
      <c r="AU18" s="14">
        <f>VLOOKUP($AR18,$V15:$AD18,6,FALSE)</f>
        <v>1</v>
      </c>
      <c r="AV18" s="14" t="str">
        <f>IF(AND($AS17=$AS18,$AT17=$AT18,$AU18&gt;$AU17),$AR17,$AR18)</f>
        <v>JOSÉ</v>
      </c>
      <c r="AW18" s="14">
        <f>VLOOKUP($AV18,$V15:$AD18,9,FALSE)</f>
        <v>2</v>
      </c>
      <c r="AX18" s="14">
        <f>VLOOKUP($AV18,$V15:$AD18,8,FALSE)</f>
        <v>-2</v>
      </c>
      <c r="AY18" s="14">
        <f>VLOOKUP($AV18,$V15:$AD18,6,FALSE)</f>
        <v>1</v>
      </c>
      <c r="AZ18" s="14" t="str">
        <f>IF(AND($AW16=$AW18,$AX16=$AX18,$AY18&gt;$AY16),$AV16,$AV18)</f>
        <v>JOSÉ</v>
      </c>
      <c r="BA18" s="14">
        <f>VLOOKUP($AZ18,$V15:$AD18,9,FALSE)</f>
        <v>2</v>
      </c>
      <c r="BB18" s="14">
        <f>VLOOKUP($AZ18,$V15:$AD18,8,FALSE)</f>
        <v>-2</v>
      </c>
      <c r="BC18" s="14">
        <f>VLOOKUP($AZ18,$V15:$AD18,6,FALSE)</f>
        <v>1</v>
      </c>
      <c r="BD18" s="14" t="str">
        <f>IF(AND($BA15=$BA18,$BB15=$BB18,$BC18&gt;$BC15),$AZ15,$AZ18)</f>
        <v>JOSÉ</v>
      </c>
      <c r="BE18" s="14">
        <f>VLOOKUP($BD18,$V15:$AD18,9,FALSE)</f>
        <v>2</v>
      </c>
      <c r="BF18" s="14">
        <f>VLOOKUP($BD18,$V15:$AD18,8,FALSE)</f>
        <v>-2</v>
      </c>
      <c r="BG18" s="14">
        <f>VLOOKUP($BD18,$V15:$AD18,6,FALSE)</f>
        <v>1</v>
      </c>
      <c r="BK18" s="14" t="str">
        <f>BD18</f>
        <v>JOSÉ</v>
      </c>
      <c r="BL18" s="14">
        <f>VLOOKUP($BK18,$V15:$AD18,2,FALSE)</f>
        <v>3</v>
      </c>
      <c r="BM18" s="14">
        <f>VLOOKUP($BK18,$V15:$AD18,3,FALSE)</f>
        <v>0</v>
      </c>
      <c r="BN18" s="14">
        <f>VLOOKUP($BK18,$V15:$AD18,4,FALSE)</f>
        <v>1</v>
      </c>
      <c r="BO18" s="14">
        <f>VLOOKUP($BK18,$V15:$AD18,5,FALSE)</f>
        <v>2</v>
      </c>
      <c r="BP18" s="14">
        <f>VLOOKUP($BK18,$V15:$AD18,6,FALSE)</f>
        <v>1</v>
      </c>
      <c r="BQ18" s="14">
        <f>VLOOKUP($BK18,$V15:$AD18,7,FALSE)</f>
        <v>3</v>
      </c>
      <c r="BR18" s="14">
        <f>VLOOKUP($BK18,$V15:$AD18,8,FALSE)</f>
        <v>-2</v>
      </c>
      <c r="BS18" s="14">
        <f>VLOOKUP($BK18,$V15:$AD18,9,FALSE)</f>
        <v>2</v>
      </c>
    </row>
    <row r="19" spans="1:20" ht="13.5" customHeight="1" thickBot="1">
      <c r="A19" s="26">
        <v>26</v>
      </c>
      <c r="B19" s="33">
        <v>4</v>
      </c>
      <c r="C19" s="34" t="str">
        <f>'Chaves 3a.Fase'!B5</f>
        <v>JOSÉ</v>
      </c>
      <c r="D19" s="49">
        <v>0</v>
      </c>
      <c r="E19" s="48">
        <v>2</v>
      </c>
      <c r="F19" s="44" t="str">
        <f>'Chaves 3a.Fase'!B3</f>
        <v>VINÍCIUS</v>
      </c>
      <c r="G19" s="54" t="str">
        <f>'Carnet 2a.Fase'!L15</f>
        <v>JULINHO</v>
      </c>
      <c r="I19" s="14" t="str">
        <f t="shared" si="1"/>
        <v>VINÍCIUS</v>
      </c>
      <c r="J19" s="14" t="str">
        <f t="shared" si="2"/>
        <v>JOSÉ</v>
      </c>
      <c r="L19" s="22"/>
      <c r="M19" s="23" t="s">
        <v>83</v>
      </c>
      <c r="N19" s="23" t="s">
        <v>84</v>
      </c>
      <c r="O19" s="23" t="s">
        <v>85</v>
      </c>
      <c r="P19" s="23" t="s">
        <v>86</v>
      </c>
      <c r="Q19" s="23" t="s">
        <v>87</v>
      </c>
      <c r="R19" s="23" t="s">
        <v>88</v>
      </c>
      <c r="S19" s="23" t="s">
        <v>89</v>
      </c>
      <c r="T19" s="24" t="s">
        <v>90</v>
      </c>
    </row>
    <row r="20" spans="1:22" ht="13.5" customHeight="1" thickBot="1">
      <c r="A20" s="26">
        <v>27</v>
      </c>
      <c r="B20" s="33">
        <v>5</v>
      </c>
      <c r="C20" s="34" t="str">
        <f>'Chaves 3a.Fase'!C4</f>
        <v>NILMAR</v>
      </c>
      <c r="D20" s="49">
        <v>0</v>
      </c>
      <c r="E20" s="48">
        <v>1</v>
      </c>
      <c r="F20" s="44" t="str">
        <f>'Chaves 3a.Fase'!C2</f>
        <v>ALEX</v>
      </c>
      <c r="G20" s="54" t="s">
        <v>8</v>
      </c>
      <c r="I20" s="14" t="str">
        <f t="shared" si="1"/>
        <v>ALEX</v>
      </c>
      <c r="J20" s="14" t="str">
        <f t="shared" si="2"/>
        <v>NILMAR</v>
      </c>
      <c r="L20" s="25" t="str">
        <f aca="true" t="shared" si="4" ref="L20:T23">BK22</f>
        <v>ALEX</v>
      </c>
      <c r="M20" s="26">
        <f t="shared" si="4"/>
        <v>3</v>
      </c>
      <c r="N20" s="26">
        <f t="shared" si="4"/>
        <v>3</v>
      </c>
      <c r="O20" s="26">
        <f t="shared" si="4"/>
        <v>0</v>
      </c>
      <c r="P20" s="26">
        <f t="shared" si="4"/>
        <v>0</v>
      </c>
      <c r="Q20" s="26">
        <f t="shared" si="4"/>
        <v>6</v>
      </c>
      <c r="R20" s="26">
        <f t="shared" si="4"/>
        <v>1</v>
      </c>
      <c r="S20" s="26">
        <f t="shared" si="4"/>
        <v>5</v>
      </c>
      <c r="T20" s="27">
        <f t="shared" si="4"/>
        <v>9</v>
      </c>
      <c r="V20" s="14" t="s">
        <v>176</v>
      </c>
    </row>
    <row r="21" spans="1:30" ht="13.5" customHeight="1" thickBot="1">
      <c r="A21" s="26">
        <v>27</v>
      </c>
      <c r="B21" s="33">
        <v>6</v>
      </c>
      <c r="C21" s="42" t="str">
        <f>'Chaves 3a.Fase'!C5</f>
        <v>JONI</v>
      </c>
      <c r="D21" s="49">
        <v>1</v>
      </c>
      <c r="E21" s="48">
        <v>0</v>
      </c>
      <c r="F21" s="40" t="str">
        <f>'Chaves 3a.Fase'!C3</f>
        <v>EMERSON</v>
      </c>
      <c r="G21" s="54" t="str">
        <f>'Carnet 2a.Fase'!L22</f>
        <v>DUDA</v>
      </c>
      <c r="I21" s="14" t="str">
        <f t="shared" si="1"/>
        <v>JONI</v>
      </c>
      <c r="J21" s="14" t="str">
        <f t="shared" si="2"/>
        <v>EMERSON</v>
      </c>
      <c r="L21" s="25" t="str">
        <f t="shared" si="4"/>
        <v>NILMAR</v>
      </c>
      <c r="M21" s="26">
        <f t="shared" si="4"/>
        <v>3</v>
      </c>
      <c r="N21" s="26">
        <f t="shared" si="4"/>
        <v>2</v>
      </c>
      <c r="O21" s="26">
        <f t="shared" si="4"/>
        <v>1</v>
      </c>
      <c r="P21" s="26">
        <f t="shared" si="4"/>
        <v>0</v>
      </c>
      <c r="Q21" s="26">
        <f t="shared" si="4"/>
        <v>2</v>
      </c>
      <c r="R21" s="26">
        <f t="shared" si="4"/>
        <v>1</v>
      </c>
      <c r="S21" s="26">
        <f t="shared" si="4"/>
        <v>1</v>
      </c>
      <c r="T21" s="27">
        <f t="shared" si="4"/>
        <v>6</v>
      </c>
      <c r="W21" s="14" t="s">
        <v>107</v>
      </c>
      <c r="X21" s="14" t="s">
        <v>108</v>
      </c>
      <c r="Y21" s="14" t="s">
        <v>109</v>
      </c>
      <c r="Z21" s="14" t="s">
        <v>85</v>
      </c>
      <c r="AA21" s="14" t="s">
        <v>110</v>
      </c>
      <c r="AB21" s="14" t="s">
        <v>111</v>
      </c>
      <c r="AC21" s="14" t="s">
        <v>112</v>
      </c>
      <c r="AD21" s="14" t="s">
        <v>113</v>
      </c>
    </row>
    <row r="22" spans="1:71" ht="13.5" customHeight="1" thickBot="1">
      <c r="A22" s="26">
        <v>28</v>
      </c>
      <c r="B22" s="33">
        <v>7</v>
      </c>
      <c r="C22" s="34" t="str">
        <f>'Chaves 3a.Fase'!D4</f>
        <v>PAIM</v>
      </c>
      <c r="D22" s="49">
        <v>1</v>
      </c>
      <c r="E22" s="48">
        <v>0</v>
      </c>
      <c r="F22" s="44" t="str">
        <f>'Chaves 3a.Fase'!D2</f>
        <v>ZILBER</v>
      </c>
      <c r="G22" s="54" t="str">
        <f>'Carnet 2a.Fase'!L57</f>
        <v>ALDIR</v>
      </c>
      <c r="I22" s="14" t="str">
        <f t="shared" si="1"/>
        <v>PAIM</v>
      </c>
      <c r="J22" s="14" t="str">
        <f t="shared" si="2"/>
        <v>ZILBER</v>
      </c>
      <c r="L22" s="25" t="str">
        <f t="shared" si="4"/>
        <v>JONI</v>
      </c>
      <c r="M22" s="26">
        <f t="shared" si="4"/>
        <v>3</v>
      </c>
      <c r="N22" s="26">
        <f t="shared" si="4"/>
        <v>1</v>
      </c>
      <c r="O22" s="26">
        <f t="shared" si="4"/>
        <v>2</v>
      </c>
      <c r="P22" s="26">
        <f t="shared" si="4"/>
        <v>0</v>
      </c>
      <c r="Q22" s="26">
        <f t="shared" si="4"/>
        <v>2</v>
      </c>
      <c r="R22" s="26">
        <f t="shared" si="4"/>
        <v>3</v>
      </c>
      <c r="S22" s="26">
        <f t="shared" si="4"/>
        <v>-1</v>
      </c>
      <c r="T22" s="27">
        <f t="shared" si="4"/>
        <v>3</v>
      </c>
      <c r="V22" s="14" t="str">
        <f>'Chaves 3a.Fase'!C2</f>
        <v>ALEX</v>
      </c>
      <c r="W22" s="14">
        <f>COUNT(COP_JOGOS)</f>
        <v>3</v>
      </c>
      <c r="X22" s="14">
        <f>COUNTIF(Groupstage_Winne,'Chaves 3a.Fase'!C2)</f>
        <v>3</v>
      </c>
      <c r="Y22" s="14">
        <f>COUNTIF(Groupstage_Lose,'Chaves 3a.Fase'!C2)</f>
        <v>0</v>
      </c>
      <c r="Z22" s="14">
        <f>W22-(X22+Y22)</f>
        <v>0</v>
      </c>
      <c r="AA22" s="14">
        <f>SUM(COP_JOGOS)</f>
        <v>6</v>
      </c>
      <c r="AB22" s="14">
        <f>SUM(COP_ADV)</f>
        <v>1</v>
      </c>
      <c r="AC22" s="14">
        <f>AA22-AB22</f>
        <v>5</v>
      </c>
      <c r="AD22" s="14">
        <f>X22*Winpoints+Z22*Drawpoints</f>
        <v>9</v>
      </c>
      <c r="AE22" s="14" t="str">
        <f>IF($AD22&gt;=$AD23,$V22,$V23)</f>
        <v>ALEX</v>
      </c>
      <c r="AF22" s="14">
        <f>VLOOKUP($AE22,$V22:$AD25,9,FALSE)</f>
        <v>9</v>
      </c>
      <c r="AG22" s="14" t="str">
        <f>IF($AF22&gt;=$AF24,$AE22,$AE24)</f>
        <v>ALEX</v>
      </c>
      <c r="AH22" s="14">
        <f>VLOOKUP($AG22,$V22:$AD25,9,FALSE)</f>
        <v>9</v>
      </c>
      <c r="AI22" s="14" t="str">
        <f>IF($AH22&gt;=$AH25,$AG22,$AG25)</f>
        <v>ALEX</v>
      </c>
      <c r="AJ22" s="14">
        <f>VLOOKUP($AI22,$V22:$AD25,9,FALSE)</f>
        <v>9</v>
      </c>
      <c r="AK22" s="14">
        <f>VLOOKUP($AI22,$V22:$AD25,8,FALSE)</f>
        <v>5</v>
      </c>
      <c r="AL22" s="14" t="str">
        <f>IF(AND($AJ22=$AJ23,$AK23&gt;$AK22),$AI23,$AI22)</f>
        <v>ALEX</v>
      </c>
      <c r="AM22" s="14">
        <f>VLOOKUP($AL22,$V22:$AD25,9,FALSE)</f>
        <v>9</v>
      </c>
      <c r="AN22" s="14">
        <f>VLOOKUP($AL22,$V22:$AD25,8,FALSE)</f>
        <v>5</v>
      </c>
      <c r="AO22" s="14" t="str">
        <f>IF(AND($AM22=$AM24,$AN24&gt;$AN22),$AL24,$AL22)</f>
        <v>ALEX</v>
      </c>
      <c r="AP22" s="14">
        <f>VLOOKUP($AO22,$V22:$AD25,9,FALSE)</f>
        <v>9</v>
      </c>
      <c r="AQ22" s="14">
        <f>VLOOKUP($AO22,$V22:$AD25,8,FALSE)</f>
        <v>5</v>
      </c>
      <c r="AR22" s="14" t="str">
        <f>IF(AND($AP22=$AP25,$AQ25&gt;$AQ22),$AO25,$AO22)</f>
        <v>ALEX</v>
      </c>
      <c r="AS22" s="14">
        <f>VLOOKUP($AR22,$V22:$AD25,9,FALSE)</f>
        <v>9</v>
      </c>
      <c r="AT22" s="14">
        <f>VLOOKUP($AR22,$V22:$AD25,8,FALSE)</f>
        <v>5</v>
      </c>
      <c r="AU22" s="14">
        <f>VLOOKUP($AR22,$V22:$AD25,6,FALSE)</f>
        <v>6</v>
      </c>
      <c r="AV22" s="14" t="str">
        <f>IF(AND($AS22=$AS23,$AT22=$AT23,$AU23&gt;$AU22),$AR23,$AR22)</f>
        <v>ALEX</v>
      </c>
      <c r="AW22" s="14">
        <f>VLOOKUP($AV22,$V22:$AD25,9,FALSE)</f>
        <v>9</v>
      </c>
      <c r="AX22" s="14">
        <f>VLOOKUP($AV22,$V22:$AD25,8,FALSE)</f>
        <v>5</v>
      </c>
      <c r="AY22" s="14">
        <f>VLOOKUP($AV22,$V22:$AD25,6,FALSE)</f>
        <v>6</v>
      </c>
      <c r="AZ22" s="14" t="str">
        <f>IF(AND($AW22=$AW24,$AX22=$AX24,$AY24&gt;$AY22),$AV24,$AV22)</f>
        <v>ALEX</v>
      </c>
      <c r="BA22" s="14">
        <f>VLOOKUP($AZ22,$V22:$AD25,9,FALSE)</f>
        <v>9</v>
      </c>
      <c r="BB22" s="14">
        <f>VLOOKUP($AZ22,$V22:$AD25,8,FALSE)</f>
        <v>5</v>
      </c>
      <c r="BC22" s="14">
        <f>VLOOKUP($AZ22,$V22:$AD25,6,FALSE)</f>
        <v>6</v>
      </c>
      <c r="BD22" s="14" t="str">
        <f>IF(AND($BA22=$BA25,$BB22=$BB25,$BC25&gt;$BC22),$AZ25,$AZ22)</f>
        <v>ALEX</v>
      </c>
      <c r="BE22" s="14">
        <f>VLOOKUP($BD22,$V22:$AD25,9,FALSE)</f>
        <v>9</v>
      </c>
      <c r="BF22" s="14">
        <f>VLOOKUP($BD22,$V22:$AD25,8,FALSE)</f>
        <v>5</v>
      </c>
      <c r="BG22" s="14">
        <f>VLOOKUP($BD22,$V22:$AD25,6,FALSE)</f>
        <v>6</v>
      </c>
      <c r="BK22" s="14" t="str">
        <f>BD22</f>
        <v>ALEX</v>
      </c>
      <c r="BL22" s="14">
        <f>VLOOKUP($BK22,$V22:$AD25,2,FALSE)</f>
        <v>3</v>
      </c>
      <c r="BM22" s="14">
        <f>VLOOKUP($BK22,$V22:$AD25,3,FALSE)</f>
        <v>3</v>
      </c>
      <c r="BN22" s="14">
        <f>VLOOKUP($BK22,$V22:$AD25,4,FALSE)</f>
        <v>0</v>
      </c>
      <c r="BO22" s="14">
        <f>VLOOKUP($BK22,$V22:$AD25,5,FALSE)</f>
        <v>0</v>
      </c>
      <c r="BP22" s="14">
        <f>VLOOKUP($BK22,$V22:$AD25,6,FALSE)</f>
        <v>6</v>
      </c>
      <c r="BQ22" s="14">
        <f>VLOOKUP($BK22,$V22:$AD25,7,FALSE)</f>
        <v>1</v>
      </c>
      <c r="BR22" s="14">
        <f>VLOOKUP($BK22,$V22:$AD25,8,FALSE)</f>
        <v>5</v>
      </c>
      <c r="BS22" s="14">
        <f>VLOOKUP($BK22,$V22:$AD25,9,FALSE)</f>
        <v>9</v>
      </c>
    </row>
    <row r="23" spans="1:71" ht="13.5" customHeight="1" thickBot="1">
      <c r="A23" s="26">
        <v>28</v>
      </c>
      <c r="B23" s="33">
        <v>8</v>
      </c>
      <c r="C23" s="34" t="str">
        <f>'Chaves 3a.Fase'!D5</f>
        <v>JOÃO GARIMA</v>
      </c>
      <c r="D23" s="49">
        <v>1</v>
      </c>
      <c r="E23" s="48">
        <v>1</v>
      </c>
      <c r="F23" s="44" t="str">
        <f>'Chaves 3a.Fase'!D3</f>
        <v>ELISANDRO</v>
      </c>
      <c r="G23" s="54" t="str">
        <f>'Carnet 2a.Fase'!L29</f>
        <v>VINHAS</v>
      </c>
      <c r="I23" s="14" t="str">
        <f t="shared" si="1"/>
        <v>Draw</v>
      </c>
      <c r="J23" s="14" t="str">
        <f t="shared" si="2"/>
        <v>Draw</v>
      </c>
      <c r="L23" s="37" t="str">
        <f t="shared" si="4"/>
        <v>EMERSON</v>
      </c>
      <c r="M23" s="38">
        <f t="shared" si="4"/>
        <v>3</v>
      </c>
      <c r="N23" s="38">
        <f t="shared" si="4"/>
        <v>0</v>
      </c>
      <c r="O23" s="38">
        <f t="shared" si="4"/>
        <v>3</v>
      </c>
      <c r="P23" s="38">
        <f t="shared" si="4"/>
        <v>0</v>
      </c>
      <c r="Q23" s="38">
        <f t="shared" si="4"/>
        <v>0</v>
      </c>
      <c r="R23" s="38">
        <f t="shared" si="4"/>
        <v>5</v>
      </c>
      <c r="S23" s="38">
        <f t="shared" si="4"/>
        <v>-5</v>
      </c>
      <c r="T23" s="39">
        <f t="shared" si="4"/>
        <v>0</v>
      </c>
      <c r="V23" s="14" t="str">
        <f>'Chaves 3a.Fase'!C3</f>
        <v>EMERSON</v>
      </c>
      <c r="W23" s="14">
        <f>COUNT(APFM_JOGOS)</f>
        <v>3</v>
      </c>
      <c r="X23" s="14">
        <f>COUNTIF(Groupstage_Winne,'Chaves 3a.Fase'!C3)</f>
        <v>0</v>
      </c>
      <c r="Y23" s="14">
        <f>COUNTIF(Groupstage_Lose,'Chaves 3a.Fase'!C3)</f>
        <v>3</v>
      </c>
      <c r="Z23" s="14">
        <f>W23-(X23+Y23)</f>
        <v>0</v>
      </c>
      <c r="AA23" s="14">
        <f>SUM(APFM_JOGOS)</f>
        <v>0</v>
      </c>
      <c r="AB23" s="14">
        <f>SUM(APFM_ADV)</f>
        <v>5</v>
      </c>
      <c r="AC23" s="14">
        <f>AA23-AB23</f>
        <v>-5</v>
      </c>
      <c r="AD23" s="14">
        <f>X23*Winpoints+Z23*Drawpoints</f>
        <v>0</v>
      </c>
      <c r="AE23" s="14" t="str">
        <f>IF($AD23&lt;=$AD22,$V23,$V22)</f>
        <v>EMERSON</v>
      </c>
      <c r="AF23" s="14">
        <f>VLOOKUP($AE23,$V22:$AD25,9,FALSE)</f>
        <v>0</v>
      </c>
      <c r="AG23" s="14" t="str">
        <f>IF(AF23&gt;=AF25,AE23,AE25)</f>
        <v>JONI</v>
      </c>
      <c r="AH23" s="14">
        <f>VLOOKUP($AG23,$V22:$AD25,9,FALSE)</f>
        <v>3</v>
      </c>
      <c r="AI23" s="14" t="str">
        <f>IF($AH23&gt;=$AH24,$AG23,$AG24)</f>
        <v>NILMAR</v>
      </c>
      <c r="AJ23" s="14">
        <f>VLOOKUP($AI23,$V22:$AD25,9,FALSE)</f>
        <v>6</v>
      </c>
      <c r="AK23" s="14">
        <f>VLOOKUP($AI23,$V22:$AD25,8,FALSE)</f>
        <v>1</v>
      </c>
      <c r="AL23" s="14" t="str">
        <f>IF(AND($AJ22=$AJ23,$AK23&gt;$AK22),$AI22,$AI23)</f>
        <v>NILMAR</v>
      </c>
      <c r="AM23" s="14">
        <f>VLOOKUP($AL23,$V22:$AD25,9,FALSE)</f>
        <v>6</v>
      </c>
      <c r="AN23" s="14">
        <f>VLOOKUP($AL23,$V22:$AD25,8,FALSE)</f>
        <v>1</v>
      </c>
      <c r="AO23" s="14" t="str">
        <f>IF(AND($AM23=$AM25,$AN25&gt;$AN23),$AL25,$AL23)</f>
        <v>NILMAR</v>
      </c>
      <c r="AP23" s="14">
        <f>VLOOKUP($AO23,$V22:$AD25,9,FALSE)</f>
        <v>6</v>
      </c>
      <c r="AQ23" s="14">
        <f>VLOOKUP($AO23,$V22:$AD25,8,FALSE)</f>
        <v>1</v>
      </c>
      <c r="AR23" s="14" t="str">
        <f>IF(AND($AP23=$AP24,$AQ24&gt;$AQ23),$AO24,$AO23)</f>
        <v>NILMAR</v>
      </c>
      <c r="AS23" s="14">
        <f>VLOOKUP($AR23,$V22:$AD25,9,FALSE)</f>
        <v>6</v>
      </c>
      <c r="AT23" s="14">
        <f>VLOOKUP($AR23,$V22:$AD25,8,FALSE)</f>
        <v>1</v>
      </c>
      <c r="AU23" s="14">
        <f>VLOOKUP($AR23,$V22:$AD25,6,FALSE)</f>
        <v>2</v>
      </c>
      <c r="AV23" s="14" t="str">
        <f>IF(AND($AS22=$AS23,$AT22=$AT23,$AU23&gt;$AU22),$AR22,$AR23)</f>
        <v>NILMAR</v>
      </c>
      <c r="AW23" s="14">
        <f>VLOOKUP($AV23,$V22:$AD25,9,FALSE)</f>
        <v>6</v>
      </c>
      <c r="AX23" s="14">
        <f>VLOOKUP($AV23,$V22:$AD25,8,FALSE)</f>
        <v>1</v>
      </c>
      <c r="AY23" s="14">
        <f>VLOOKUP($AV23,$V22:$AD25,6,FALSE)</f>
        <v>2</v>
      </c>
      <c r="AZ23" s="14" t="str">
        <f>IF(AND($AW23=$AW25,$AX23=$AX25,$AY25&gt;$AY23),$AV25,$AV23)</f>
        <v>NILMAR</v>
      </c>
      <c r="BA23" s="14">
        <f>VLOOKUP($AZ23,$V22:$AD25,9,FALSE)</f>
        <v>6</v>
      </c>
      <c r="BB23" s="14">
        <f>VLOOKUP($AZ23,$V22:$AD25,8,FALSE)</f>
        <v>1</v>
      </c>
      <c r="BC23" s="14">
        <f>VLOOKUP($AZ23,$V22:$AD25,6,FALSE)</f>
        <v>2</v>
      </c>
      <c r="BD23" s="14" t="str">
        <f>IF(AND($BA23=$BA24,$BB23=$BB24,$BC24&gt;$BC23),$AZ24,$AZ23)</f>
        <v>NILMAR</v>
      </c>
      <c r="BE23" s="14">
        <f>VLOOKUP($BD23,$V22:$AD25,9,FALSE)</f>
        <v>6</v>
      </c>
      <c r="BF23" s="14">
        <f>VLOOKUP($BD23,$V22:$AD25,8,FALSE)</f>
        <v>1</v>
      </c>
      <c r="BG23" s="14">
        <f>VLOOKUP($BD23,$V22:$AD25,6,FALSE)</f>
        <v>2</v>
      </c>
      <c r="BK23" s="14" t="str">
        <f>BD23</f>
        <v>NILMAR</v>
      </c>
      <c r="BL23" s="14">
        <f>VLOOKUP($BK23,$V22:$AD25,2,FALSE)</f>
        <v>3</v>
      </c>
      <c r="BM23" s="14">
        <f>VLOOKUP($BK23,$V22:$AD25,3,FALSE)</f>
        <v>2</v>
      </c>
      <c r="BN23" s="14">
        <f>VLOOKUP($BK23,$V22:$AD25,4,FALSE)</f>
        <v>1</v>
      </c>
      <c r="BO23" s="14">
        <f>VLOOKUP($BK23,$V22:$AD25,5,FALSE)</f>
        <v>0</v>
      </c>
      <c r="BP23" s="14">
        <f>VLOOKUP($BK23,$V22:$AD25,6,FALSE)</f>
        <v>2</v>
      </c>
      <c r="BQ23" s="14">
        <f>VLOOKUP($BK23,$V22:$AD25,7,FALSE)</f>
        <v>1</v>
      </c>
      <c r="BR23" s="14">
        <f>VLOOKUP($BK23,$V22:$AD25,8,FALSE)</f>
        <v>1</v>
      </c>
      <c r="BS23" s="14">
        <f>VLOOKUP($BK23,$V22:$AD25,9,FALSE)</f>
        <v>6</v>
      </c>
    </row>
    <row r="24" spans="1:71" ht="15" customHeight="1" thickBot="1">
      <c r="A24" s="74" t="s">
        <v>177</v>
      </c>
      <c r="B24" s="74"/>
      <c r="C24" s="74"/>
      <c r="D24" s="74"/>
      <c r="E24" s="74"/>
      <c r="F24" s="74"/>
      <c r="G24" s="74"/>
      <c r="H24" s="74"/>
      <c r="V24" s="14" t="str">
        <f>'Chaves 3a.Fase'!C4</f>
        <v>NILMAR</v>
      </c>
      <c r="W24" s="14">
        <f>COUNT(ACADEMIA_JOGOS)</f>
        <v>3</v>
      </c>
      <c r="X24" s="14">
        <f>COUNTIF(Groupstage_Winne,'Chaves 3a.Fase'!C4)</f>
        <v>2</v>
      </c>
      <c r="Y24" s="14">
        <f>COUNTIF(Groupstage_Lose,'Chaves 3a.Fase'!C4)</f>
        <v>1</v>
      </c>
      <c r="Z24" s="14">
        <f>W24-(X24+Y24)</f>
        <v>0</v>
      </c>
      <c r="AA24" s="14">
        <f>SUM(ACADEMIA_JOGOS)</f>
        <v>2</v>
      </c>
      <c r="AB24" s="14">
        <f>SUM(ACADEMIA_ADV)</f>
        <v>1</v>
      </c>
      <c r="AC24" s="14">
        <f>AA24-AB24</f>
        <v>1</v>
      </c>
      <c r="AD24" s="14">
        <f>X24*Winpoints+Z24*Drawpoints</f>
        <v>6</v>
      </c>
      <c r="AE24" s="14" t="str">
        <f>IF($AD24&gt;=$AD25,$V24,$V25)</f>
        <v>NILMAR</v>
      </c>
      <c r="AF24" s="14">
        <f>VLOOKUP($AE24,$V22:$AD25,9,FALSE)</f>
        <v>6</v>
      </c>
      <c r="AG24" s="14" t="str">
        <f>IF($AF24&lt;=$AF22,$AE24,$AE22)</f>
        <v>NILMAR</v>
      </c>
      <c r="AH24" s="14">
        <f>VLOOKUP($AG24,$V22:$AD25,9,FALSE)</f>
        <v>6</v>
      </c>
      <c r="AI24" s="14" t="str">
        <f>IF($AH24&lt;=$AH23,$AG24,$AG23)</f>
        <v>JONI</v>
      </c>
      <c r="AJ24" s="14">
        <f>VLOOKUP($AI24,$V22:$AD25,9,FALSE)</f>
        <v>3</v>
      </c>
      <c r="AK24" s="14">
        <f>VLOOKUP($AI24,$V22:$AD25,8,FALSE)</f>
        <v>-1</v>
      </c>
      <c r="AL24" s="14" t="str">
        <f>IF(AND($AJ24=$AJ25,$AK25&gt;$AK24),$AI25,$AI24)</f>
        <v>JONI</v>
      </c>
      <c r="AM24" s="14">
        <f>VLOOKUP($AL24,$V22:$AD25,9,FALSE)</f>
        <v>3</v>
      </c>
      <c r="AN24" s="14">
        <f>VLOOKUP($AL24,$V22:$AD25,8,FALSE)</f>
        <v>-1</v>
      </c>
      <c r="AO24" s="14" t="str">
        <f>IF(AND($AM22=$AM24,$AN24&gt;$AN22),$AL22,$AL24)</f>
        <v>JONI</v>
      </c>
      <c r="AP24" s="14">
        <f>VLOOKUP($AO24,$V22:$AD25,9,FALSE)</f>
        <v>3</v>
      </c>
      <c r="AQ24" s="14">
        <f>VLOOKUP($AO24,$V22:$AD25,8,FALSE)</f>
        <v>-1</v>
      </c>
      <c r="AR24" s="14" t="str">
        <f>IF(AND($AP23=$AP24,$AQ24&gt;$AQ23),$AO23,$AO24)</f>
        <v>JONI</v>
      </c>
      <c r="AS24" s="14">
        <f>VLOOKUP($AR24,$V22:$AD25,9,FALSE)</f>
        <v>3</v>
      </c>
      <c r="AT24" s="14">
        <f>VLOOKUP($AR24,$V22:$AD25,8,FALSE)</f>
        <v>-1</v>
      </c>
      <c r="AU24" s="14">
        <f>VLOOKUP($AR24,$V22:$AD25,6,FALSE)</f>
        <v>2</v>
      </c>
      <c r="AV24" s="14" t="str">
        <f>IF(AND($AS24=$AS25,$AT24=$AT25,$AU25&gt;$AU24),$AR25,$AR24)</f>
        <v>JONI</v>
      </c>
      <c r="AW24" s="14">
        <f>VLOOKUP($AV24,$V22:$AD25,9,FALSE)</f>
        <v>3</v>
      </c>
      <c r="AX24" s="14">
        <f>VLOOKUP($AV24,$V22:$AD25,8,FALSE)</f>
        <v>-1</v>
      </c>
      <c r="AY24" s="14">
        <f>VLOOKUP($AV24,$V22:$AD25,6,FALSE)</f>
        <v>2</v>
      </c>
      <c r="AZ24" s="14" t="str">
        <f>IF(AND($AW22=$AW24,$AX22=$AX24,$AY24&gt;$AY22),$AV22,$AV24)</f>
        <v>JONI</v>
      </c>
      <c r="BA24" s="14">
        <f>VLOOKUP($AZ24,$V22:$AD25,9,FALSE)</f>
        <v>3</v>
      </c>
      <c r="BB24" s="14">
        <f>VLOOKUP($AZ24,$V22:$AD25,8,FALSE)</f>
        <v>-1</v>
      </c>
      <c r="BC24" s="14">
        <f>VLOOKUP($AZ24,$V22:$AD25,6,FALSE)</f>
        <v>2</v>
      </c>
      <c r="BD24" s="14" t="str">
        <f>IF(AND($BA23=$BA24,$BB23=$BB24,$BC24&gt;$BC23),$AZ23,$AZ24)</f>
        <v>JONI</v>
      </c>
      <c r="BE24" s="14">
        <f>VLOOKUP($BD24,$V22:$AD25,9,FALSE)</f>
        <v>3</v>
      </c>
      <c r="BF24" s="14">
        <f>VLOOKUP($BD24,$V22:$AD25,8,FALSE)</f>
        <v>-1</v>
      </c>
      <c r="BG24" s="14">
        <f>VLOOKUP($BD24,$V22:$AD25,6,FALSE)</f>
        <v>2</v>
      </c>
      <c r="BK24" s="14" t="str">
        <f>BD24</f>
        <v>JONI</v>
      </c>
      <c r="BL24" s="14">
        <f>VLOOKUP($BK24,$V22:$AD25,2,FALSE)</f>
        <v>3</v>
      </c>
      <c r="BM24" s="14">
        <f>VLOOKUP($BK24,$V22:$AD25,3,FALSE)</f>
        <v>1</v>
      </c>
      <c r="BN24" s="14">
        <f>VLOOKUP($BK24,$V22:$AD25,4,FALSE)</f>
        <v>2</v>
      </c>
      <c r="BO24" s="14">
        <f>VLOOKUP($BK24,$V22:$AD25,5,FALSE)</f>
        <v>0</v>
      </c>
      <c r="BP24" s="14">
        <f>VLOOKUP($BK24,$V22:$AD25,6,FALSE)</f>
        <v>2</v>
      </c>
      <c r="BQ24" s="14">
        <f>VLOOKUP($BK24,$V22:$AD25,7,FALSE)</f>
        <v>3</v>
      </c>
      <c r="BR24" s="14">
        <f>VLOOKUP($BK24,$V22:$AD25,8,FALSE)</f>
        <v>-1</v>
      </c>
      <c r="BS24" s="14">
        <f>VLOOKUP($BK24,$V22:$AD25,9,FALSE)</f>
        <v>3</v>
      </c>
    </row>
    <row r="25" spans="1:71" ht="13.5" customHeight="1" thickBot="1">
      <c r="A25" s="26">
        <v>25</v>
      </c>
      <c r="B25" s="33">
        <v>1</v>
      </c>
      <c r="C25" s="34" t="str">
        <f>'Chaves 3a.Fase'!A2</f>
        <v>SILVIO</v>
      </c>
      <c r="D25" s="49">
        <v>0</v>
      </c>
      <c r="E25" s="48">
        <v>0</v>
      </c>
      <c r="F25" s="44" t="str">
        <f>'Chaves 3a.Fase'!A3</f>
        <v>ROBSON</v>
      </c>
      <c r="G25" s="54" t="str">
        <f>'Carnet 2a.Fase'!L9</f>
        <v>SINVAL</v>
      </c>
      <c r="I25" s="14" t="str">
        <f t="shared" si="1"/>
        <v>Draw</v>
      </c>
      <c r="J25" s="14" t="str">
        <f t="shared" si="2"/>
        <v>Draw</v>
      </c>
      <c r="L25" s="19" t="s">
        <v>178</v>
      </c>
      <c r="M25" s="20"/>
      <c r="N25" s="20"/>
      <c r="O25" s="20"/>
      <c r="P25" s="20"/>
      <c r="Q25" s="20"/>
      <c r="R25" s="20"/>
      <c r="S25" s="20"/>
      <c r="T25" s="21"/>
      <c r="V25" s="14" t="str">
        <f>'Chaves 3a.Fase'!C5</f>
        <v>JONI</v>
      </c>
      <c r="W25" s="14">
        <f>COUNT(PAULISTA_JOGOS)</f>
        <v>3</v>
      </c>
      <c r="X25" s="14">
        <f>COUNTIF(Groupstage_Winne,'Chaves 3a.Fase'!C5)</f>
        <v>1</v>
      </c>
      <c r="Y25" s="14">
        <f>COUNTIF(Groupstage_Lose,'Chaves 3a.Fase'!C5)</f>
        <v>2</v>
      </c>
      <c r="Z25" s="14">
        <f>W25-(X25+Y25)</f>
        <v>0</v>
      </c>
      <c r="AA25" s="14">
        <f>SUM(PAULISTA_JOGOS)</f>
        <v>2</v>
      </c>
      <c r="AB25" s="14">
        <f>SUM(PAULISTA_ADV)</f>
        <v>3</v>
      </c>
      <c r="AC25" s="14">
        <f>AA25-AB25</f>
        <v>-1</v>
      </c>
      <c r="AD25" s="14">
        <f>X25*Winpoints+Z25*Drawpoints</f>
        <v>3</v>
      </c>
      <c r="AE25" s="14" t="str">
        <f>IF($AD25&lt;=$AD24,$V25,$V24)</f>
        <v>JONI</v>
      </c>
      <c r="AF25" s="14">
        <f>VLOOKUP($AE25,$V22:$AD25,9,FALSE)</f>
        <v>3</v>
      </c>
      <c r="AG25" s="14" t="str">
        <f>IF(AF25&lt;=AF23,AE25,AE23)</f>
        <v>EMERSON</v>
      </c>
      <c r="AH25" s="14">
        <f>VLOOKUP($AG25,$V22:$AD25,9,FALSE)</f>
        <v>0</v>
      </c>
      <c r="AI25" s="14" t="str">
        <f>IF($AH25&lt;=$AH22,$AG25,$AG22)</f>
        <v>EMERSON</v>
      </c>
      <c r="AJ25" s="14">
        <f>VLOOKUP($AI25,$V22:$AD25,9,FALSE)</f>
        <v>0</v>
      </c>
      <c r="AK25" s="14">
        <f>VLOOKUP($AI25,$V22:$AD25,8,FALSE)</f>
        <v>-5</v>
      </c>
      <c r="AL25" s="14" t="str">
        <f>IF(AND($AJ24=$AJ25,$AK25&gt;$AK24),$AI24,$AI25)</f>
        <v>EMERSON</v>
      </c>
      <c r="AM25" s="14">
        <f>VLOOKUP($AL25,$V22:$AD25,9,FALSE)</f>
        <v>0</v>
      </c>
      <c r="AN25" s="14">
        <f>VLOOKUP($AL25,$V22:$AD25,8,FALSE)</f>
        <v>-5</v>
      </c>
      <c r="AO25" s="14" t="str">
        <f>IF(AND($AM23=$AM25,$AN25&gt;$AN23),$AL23,$AL25)</f>
        <v>EMERSON</v>
      </c>
      <c r="AP25" s="14">
        <f>VLOOKUP($AO25,$V22:$AD25,9,FALSE)</f>
        <v>0</v>
      </c>
      <c r="AQ25" s="14">
        <f>VLOOKUP($AO25,$V22:$AD25,8,FALSE)</f>
        <v>-5</v>
      </c>
      <c r="AR25" s="14" t="str">
        <f>IF(AND($AP22=$AP25,$AQ25&gt;$AQ22),$AO22,$AO25)</f>
        <v>EMERSON</v>
      </c>
      <c r="AS25" s="14">
        <f>VLOOKUP($AR25,$V22:$AD25,9,FALSE)</f>
        <v>0</v>
      </c>
      <c r="AT25" s="14">
        <f>VLOOKUP($AR25,$V22:$AD25,8,FALSE)</f>
        <v>-5</v>
      </c>
      <c r="AU25" s="14">
        <f>VLOOKUP($AR25,$V22:$AD25,6,FALSE)</f>
        <v>0</v>
      </c>
      <c r="AV25" s="14" t="str">
        <f>IF(AND($AS24=$AS25,$AT24=$AT25,$AU25&gt;$AU24),$AR24,$AR25)</f>
        <v>EMERSON</v>
      </c>
      <c r="AW25" s="14">
        <f>VLOOKUP($AV25,$V22:$AD25,9,FALSE)</f>
        <v>0</v>
      </c>
      <c r="AX25" s="14">
        <f>VLOOKUP($AV25,$V22:$AD25,8,FALSE)</f>
        <v>-5</v>
      </c>
      <c r="AY25" s="14">
        <f>VLOOKUP($AV25,$V22:$AD25,6,FALSE)</f>
        <v>0</v>
      </c>
      <c r="AZ25" s="14" t="str">
        <f>IF(AND($AW23=$AW25,$AX23=$AX25,$AY25&gt;$AY23),$AV23,$AV25)</f>
        <v>EMERSON</v>
      </c>
      <c r="BA25" s="14">
        <f>VLOOKUP($AZ25,$V22:$AD25,9,FALSE)</f>
        <v>0</v>
      </c>
      <c r="BB25" s="14">
        <f>VLOOKUP($AZ25,$V22:$AD25,8,FALSE)</f>
        <v>-5</v>
      </c>
      <c r="BC25" s="14">
        <f>VLOOKUP($AZ25,$V22:$AD25,6,FALSE)</f>
        <v>0</v>
      </c>
      <c r="BD25" s="14" t="str">
        <f>IF(AND($BA22=$BA25,$BB22=$BB25,$BC25&gt;$BC22),$AZ22,$AZ25)</f>
        <v>EMERSON</v>
      </c>
      <c r="BE25" s="14">
        <f>VLOOKUP($BD25,$V22:$AD25,9,FALSE)</f>
        <v>0</v>
      </c>
      <c r="BF25" s="14">
        <f>VLOOKUP($BD25,$V22:$AD25,8,FALSE)</f>
        <v>-5</v>
      </c>
      <c r="BG25" s="14">
        <f>VLOOKUP($BD25,$V22:$AD25,6,FALSE)</f>
        <v>0</v>
      </c>
      <c r="BK25" s="14" t="str">
        <f>BD25</f>
        <v>EMERSON</v>
      </c>
      <c r="BL25" s="14">
        <f>VLOOKUP($BK25,$V22:$AD25,2,FALSE)</f>
        <v>3</v>
      </c>
      <c r="BM25" s="14">
        <f>VLOOKUP($BK25,$V22:$AD25,3,FALSE)</f>
        <v>0</v>
      </c>
      <c r="BN25" s="14">
        <f>VLOOKUP($BK25,$V22:$AD25,4,FALSE)</f>
        <v>3</v>
      </c>
      <c r="BO25" s="14">
        <f>VLOOKUP($BK25,$V22:$AD25,5,FALSE)</f>
        <v>0</v>
      </c>
      <c r="BP25" s="14">
        <f>VLOOKUP($BK25,$V22:$AD25,6,FALSE)</f>
        <v>0</v>
      </c>
      <c r="BQ25" s="14">
        <f>VLOOKUP($BK25,$V22:$AD25,7,FALSE)</f>
        <v>5</v>
      </c>
      <c r="BR25" s="14">
        <f>VLOOKUP($BK25,$V22:$AD25,8,FALSE)</f>
        <v>-5</v>
      </c>
      <c r="BS25" s="14">
        <f>VLOOKUP($BK25,$V22:$AD25,9,FALSE)</f>
        <v>0</v>
      </c>
    </row>
    <row r="26" spans="1:20" ht="13.5" customHeight="1" thickBot="1">
      <c r="A26" s="26">
        <v>25</v>
      </c>
      <c r="B26" s="33">
        <v>2</v>
      </c>
      <c r="C26" s="34" t="str">
        <f>'Chaves 3a.Fase'!A4</f>
        <v>BRANDÃO</v>
      </c>
      <c r="D26" s="49">
        <v>1</v>
      </c>
      <c r="E26" s="48">
        <v>3</v>
      </c>
      <c r="F26" s="44" t="str">
        <f>'Chaves 3a.Fase'!A5</f>
        <v>FELIPE</v>
      </c>
      <c r="G26" s="54" t="str">
        <f>'Carnet 2a.Fase'!L16</f>
        <v>PUFAL</v>
      </c>
      <c r="I26" s="14" t="str">
        <f t="shared" si="1"/>
        <v>FELIPE</v>
      </c>
      <c r="J26" s="14" t="str">
        <f t="shared" si="2"/>
        <v>BRANDÃO</v>
      </c>
      <c r="L26" s="22"/>
      <c r="M26" s="23" t="s">
        <v>83</v>
      </c>
      <c r="N26" s="23" t="s">
        <v>84</v>
      </c>
      <c r="O26" s="23" t="s">
        <v>85</v>
      </c>
      <c r="P26" s="23" t="s">
        <v>86</v>
      </c>
      <c r="Q26" s="23" t="s">
        <v>87</v>
      </c>
      <c r="R26" s="23" t="s">
        <v>88</v>
      </c>
      <c r="S26" s="23" t="s">
        <v>89</v>
      </c>
      <c r="T26" s="24" t="s">
        <v>90</v>
      </c>
    </row>
    <row r="27" spans="1:22" ht="13.5" customHeight="1" thickBot="1">
      <c r="A27" s="26">
        <v>26</v>
      </c>
      <c r="B27" s="33">
        <v>3</v>
      </c>
      <c r="C27" s="34" t="str">
        <f>'Chaves 3a.Fase'!B2</f>
        <v>ALESSANDRO</v>
      </c>
      <c r="D27" s="49">
        <v>1</v>
      </c>
      <c r="E27" s="48">
        <v>0</v>
      </c>
      <c r="F27" s="44" t="str">
        <f>'Chaves 3a.Fase'!B3</f>
        <v>VINÍCIUS</v>
      </c>
      <c r="G27" s="54" t="str">
        <f>'Carnet 2a.Fase'!L23</f>
        <v>MALLET</v>
      </c>
      <c r="I27" s="14" t="str">
        <f t="shared" si="1"/>
        <v>ALESSANDRO</v>
      </c>
      <c r="J27" s="14" t="str">
        <f t="shared" si="2"/>
        <v>VINÍCIUS</v>
      </c>
      <c r="L27" s="25" t="str">
        <f aca="true" t="shared" si="5" ref="L27:T30">BK29</f>
        <v>ELISANDRO</v>
      </c>
      <c r="M27" s="26">
        <f t="shared" si="5"/>
        <v>3</v>
      </c>
      <c r="N27" s="26">
        <f t="shared" si="5"/>
        <v>2</v>
      </c>
      <c r="O27" s="26">
        <f t="shared" si="5"/>
        <v>0</v>
      </c>
      <c r="P27" s="26">
        <f t="shared" si="5"/>
        <v>1</v>
      </c>
      <c r="Q27" s="26">
        <f t="shared" si="5"/>
        <v>5</v>
      </c>
      <c r="R27" s="26">
        <f t="shared" si="5"/>
        <v>1</v>
      </c>
      <c r="S27" s="26">
        <f t="shared" si="5"/>
        <v>4</v>
      </c>
      <c r="T27" s="27">
        <f t="shared" si="5"/>
        <v>7</v>
      </c>
      <c r="V27" s="14" t="s">
        <v>179</v>
      </c>
    </row>
    <row r="28" spans="1:30" ht="13.5" customHeight="1" thickBot="1">
      <c r="A28" s="26">
        <v>26</v>
      </c>
      <c r="B28" s="33">
        <v>4</v>
      </c>
      <c r="C28" s="34" t="str">
        <f>'Chaves 3a.Fase'!B4</f>
        <v>LEANDRINHO</v>
      </c>
      <c r="D28" s="49">
        <v>1</v>
      </c>
      <c r="E28" s="48">
        <v>1</v>
      </c>
      <c r="F28" s="44" t="str">
        <f>'Chaves 3a.Fase'!B5</f>
        <v>JOSÉ</v>
      </c>
      <c r="G28" s="54" t="str">
        <f>'Carnet 2a.Fase'!L30</f>
        <v>BRENO</v>
      </c>
      <c r="I28" s="14" t="str">
        <f t="shared" si="1"/>
        <v>Draw</v>
      </c>
      <c r="J28" s="14" t="str">
        <f t="shared" si="2"/>
        <v>Draw</v>
      </c>
      <c r="L28" s="25" t="str">
        <f t="shared" si="5"/>
        <v>PAIM</v>
      </c>
      <c r="M28" s="26">
        <f t="shared" si="5"/>
        <v>3</v>
      </c>
      <c r="N28" s="26">
        <f t="shared" si="5"/>
        <v>2</v>
      </c>
      <c r="O28" s="26">
        <f t="shared" si="5"/>
        <v>1</v>
      </c>
      <c r="P28" s="26">
        <f t="shared" si="5"/>
        <v>0</v>
      </c>
      <c r="Q28" s="26">
        <f t="shared" si="5"/>
        <v>4</v>
      </c>
      <c r="R28" s="26">
        <f t="shared" si="5"/>
        <v>2</v>
      </c>
      <c r="S28" s="26">
        <f t="shared" si="5"/>
        <v>2</v>
      </c>
      <c r="T28" s="27">
        <f t="shared" si="5"/>
        <v>6</v>
      </c>
      <c r="W28" s="14" t="s">
        <v>107</v>
      </c>
      <c r="X28" s="14" t="s">
        <v>108</v>
      </c>
      <c r="Y28" s="14" t="s">
        <v>109</v>
      </c>
      <c r="Z28" s="14" t="s">
        <v>85</v>
      </c>
      <c r="AA28" s="14" t="s">
        <v>110</v>
      </c>
      <c r="AB28" s="14" t="s">
        <v>111</v>
      </c>
      <c r="AC28" s="14" t="s">
        <v>112</v>
      </c>
      <c r="AD28" s="14" t="s">
        <v>113</v>
      </c>
    </row>
    <row r="29" spans="1:71" ht="13.5" customHeight="1" thickBot="1">
      <c r="A29" s="26">
        <v>27</v>
      </c>
      <c r="B29" s="33">
        <v>5</v>
      </c>
      <c r="C29" s="34" t="str">
        <f>'Chaves 3a.Fase'!C2</f>
        <v>ALEX</v>
      </c>
      <c r="D29" s="49">
        <v>3</v>
      </c>
      <c r="E29" s="48">
        <v>0</v>
      </c>
      <c r="F29" s="44" t="str">
        <f>'Chaves 3a.Fase'!C3</f>
        <v>EMERSON</v>
      </c>
      <c r="G29" s="54" t="str">
        <f>'Carnet 2a.Fase'!L37</f>
        <v>MICHEL</v>
      </c>
      <c r="I29" s="14" t="str">
        <f t="shared" si="1"/>
        <v>ALEX</v>
      </c>
      <c r="J29" s="14" t="str">
        <f t="shared" si="2"/>
        <v>EMERSON</v>
      </c>
      <c r="L29" s="25" t="str">
        <f t="shared" si="5"/>
        <v>JOÃO GARIMA</v>
      </c>
      <c r="M29" s="26">
        <f t="shared" si="5"/>
        <v>3</v>
      </c>
      <c r="N29" s="26">
        <f t="shared" si="5"/>
        <v>0</v>
      </c>
      <c r="O29" s="26">
        <f t="shared" si="5"/>
        <v>1</v>
      </c>
      <c r="P29" s="26">
        <f t="shared" si="5"/>
        <v>2</v>
      </c>
      <c r="Q29" s="26">
        <f t="shared" si="5"/>
        <v>2</v>
      </c>
      <c r="R29" s="26">
        <f t="shared" si="5"/>
        <v>5</v>
      </c>
      <c r="S29" s="26">
        <f t="shared" si="5"/>
        <v>-3</v>
      </c>
      <c r="T29" s="27">
        <f t="shared" si="5"/>
        <v>2</v>
      </c>
      <c r="V29" s="14" t="str">
        <f>'Chaves 3a.Fase'!D2</f>
        <v>ZILBER</v>
      </c>
      <c r="W29" s="14">
        <f>COUNT(SANTANENSE_JOGOS)</f>
        <v>3</v>
      </c>
      <c r="X29" s="14">
        <f>COUNTIF(Groupstage_Winne,'Chaves 3a.Fase'!D2)</f>
        <v>0</v>
      </c>
      <c r="Y29" s="14">
        <f>COUNTIF(Groupstage_Lose,'Chaves 3a.Fase'!D2)</f>
        <v>2</v>
      </c>
      <c r="Z29" s="14">
        <f>W29-(X29+Y29)</f>
        <v>1</v>
      </c>
      <c r="AA29" s="14">
        <f>SUM(SANTANENSE_JOGOS)</f>
        <v>1</v>
      </c>
      <c r="AB29" s="14">
        <f>SUM(SANTANENSE_ADV)</f>
        <v>4</v>
      </c>
      <c r="AC29" s="14">
        <f>AA29-AB29</f>
        <v>-3</v>
      </c>
      <c r="AD29" s="14">
        <f>X29*Winpoints+Z29*Drawpoints</f>
        <v>1</v>
      </c>
      <c r="AE29" s="14" t="str">
        <f>IF($AD29&gt;=$AD30,$V29,$V30)</f>
        <v>ELISANDRO</v>
      </c>
      <c r="AF29" s="14">
        <f>VLOOKUP($AE29,$V29:$AD32,9,FALSE)</f>
        <v>7</v>
      </c>
      <c r="AG29" s="14" t="str">
        <f>IF($AF29&gt;=$AF31,$AE29,$AE31)</f>
        <v>ELISANDRO</v>
      </c>
      <c r="AH29" s="14">
        <f>VLOOKUP($AG29,$V29:$AD32,9,FALSE)</f>
        <v>7</v>
      </c>
      <c r="AI29" s="14" t="str">
        <f>IF($AH29&gt;=$AH32,$AG29,$AG32)</f>
        <v>ELISANDRO</v>
      </c>
      <c r="AJ29" s="14">
        <f>VLOOKUP($AI29,$V29:$AD32,9,FALSE)</f>
        <v>7</v>
      </c>
      <c r="AK29" s="14">
        <f>VLOOKUP($AI29,$V29:$AD32,8,FALSE)</f>
        <v>4</v>
      </c>
      <c r="AL29" s="14" t="str">
        <f>IF(AND($AJ29=$AJ30,$AK30&gt;$AK29),$AI30,$AI29)</f>
        <v>ELISANDRO</v>
      </c>
      <c r="AM29" s="14">
        <f>VLOOKUP($AL29,$V29:$AD32,9,FALSE)</f>
        <v>7</v>
      </c>
      <c r="AN29" s="14">
        <f>VLOOKUP($AL29,$V29:$AD32,8,FALSE)</f>
        <v>4</v>
      </c>
      <c r="AO29" s="14" t="str">
        <f>IF(AND($AM29=$AM31,$AN31&gt;$AN29),$AL31,$AL29)</f>
        <v>ELISANDRO</v>
      </c>
      <c r="AP29" s="14">
        <f>VLOOKUP($AO29,$V29:$AD32,9,FALSE)</f>
        <v>7</v>
      </c>
      <c r="AQ29" s="14">
        <f>VLOOKUP($AO29,$V29:$AD32,8,FALSE)</f>
        <v>4</v>
      </c>
      <c r="AR29" s="14" t="str">
        <f>IF(AND($AP29=$AP32,$AQ32&gt;$AQ29),$AO32,$AO29)</f>
        <v>ELISANDRO</v>
      </c>
      <c r="AS29" s="14">
        <f>VLOOKUP($AR29,$V29:$AD32,9,FALSE)</f>
        <v>7</v>
      </c>
      <c r="AT29" s="14">
        <f>VLOOKUP($AR29,$V29:$AD32,8,FALSE)</f>
        <v>4</v>
      </c>
      <c r="AU29" s="14">
        <f>VLOOKUP($AR29,$V29:$AD32,6,FALSE)</f>
        <v>5</v>
      </c>
      <c r="AV29" s="14" t="str">
        <f>IF(AND($AS29=$AS30,$AT29=$AT30,$AU30&gt;$AU29),$AR30,$AR29)</f>
        <v>ELISANDRO</v>
      </c>
      <c r="AW29" s="14">
        <f>VLOOKUP($AV29,$V29:$AD32,9,FALSE)</f>
        <v>7</v>
      </c>
      <c r="AX29" s="14">
        <f>VLOOKUP($AV29,$V29:$AD32,8,FALSE)</f>
        <v>4</v>
      </c>
      <c r="AY29" s="14">
        <f>VLOOKUP($AV29,$V29:$AD32,6,FALSE)</f>
        <v>5</v>
      </c>
      <c r="AZ29" s="14" t="str">
        <f>IF(AND($AW29=$AW31,$AX29=$AX31,$AY31&gt;$AY29),$AV31,$AV29)</f>
        <v>ELISANDRO</v>
      </c>
      <c r="BA29" s="14">
        <f>VLOOKUP($AZ29,$V29:$AD32,9,FALSE)</f>
        <v>7</v>
      </c>
      <c r="BB29" s="14">
        <f>VLOOKUP($AZ29,$V29:$AD32,8,FALSE)</f>
        <v>4</v>
      </c>
      <c r="BC29" s="14">
        <f>VLOOKUP($AZ29,$V29:$AD32,6,FALSE)</f>
        <v>5</v>
      </c>
      <c r="BD29" s="14" t="str">
        <f>IF(AND($BA29=$BA32,$BB29=$BB32,$BC32&gt;$BC29),$AZ32,$AZ29)</f>
        <v>ELISANDRO</v>
      </c>
      <c r="BE29" s="14">
        <f>VLOOKUP($BD29,$V29:$AD32,9,FALSE)</f>
        <v>7</v>
      </c>
      <c r="BF29" s="14">
        <f>VLOOKUP($BD29,$V29:$AD32,8,FALSE)</f>
        <v>4</v>
      </c>
      <c r="BG29" s="14">
        <f>VLOOKUP($BD29,$V29:$AD32,6,FALSE)</f>
        <v>5</v>
      </c>
      <c r="BK29" s="14" t="str">
        <f>BD29</f>
        <v>ELISANDRO</v>
      </c>
      <c r="BL29" s="14">
        <f>VLOOKUP($BK29,$V29:$AD32,2,FALSE)</f>
        <v>3</v>
      </c>
      <c r="BM29" s="14">
        <f>VLOOKUP($BK29,$V29:$AD32,3,FALSE)</f>
        <v>2</v>
      </c>
      <c r="BN29" s="14">
        <f>VLOOKUP($BK29,$V29:$AD32,4,FALSE)</f>
        <v>0</v>
      </c>
      <c r="BO29" s="14">
        <f>VLOOKUP($BK29,$V29:$AD32,5,FALSE)</f>
        <v>1</v>
      </c>
      <c r="BP29" s="14">
        <f>VLOOKUP($BK29,$V29:$AD32,6,FALSE)</f>
        <v>5</v>
      </c>
      <c r="BQ29" s="14">
        <f>VLOOKUP($BK29,$V29:$AD32,7,FALSE)</f>
        <v>1</v>
      </c>
      <c r="BR29" s="14">
        <f>VLOOKUP($BK29,$V29:$AD32,8,FALSE)</f>
        <v>4</v>
      </c>
      <c r="BS29" s="14">
        <f>VLOOKUP($BK29,$V29:$AD32,9,FALSE)</f>
        <v>7</v>
      </c>
    </row>
    <row r="30" spans="1:71" ht="13.5" customHeight="1" thickBot="1">
      <c r="A30" s="26">
        <v>27</v>
      </c>
      <c r="B30" s="33">
        <v>6</v>
      </c>
      <c r="C30" s="42" t="str">
        <f>'Chaves 3a.Fase'!C4</f>
        <v>NILMAR</v>
      </c>
      <c r="D30" s="49">
        <v>1</v>
      </c>
      <c r="E30" s="48">
        <v>0</v>
      </c>
      <c r="F30" s="40" t="str">
        <f>'Chaves 3a.Fase'!C5</f>
        <v>JONI</v>
      </c>
      <c r="G30" s="54" t="str">
        <f>'Carnet 2a.Fase'!L44</f>
        <v>MARQUINHO</v>
      </c>
      <c r="I30" s="14" t="str">
        <f t="shared" si="1"/>
        <v>NILMAR</v>
      </c>
      <c r="J30" s="14" t="str">
        <f t="shared" si="2"/>
        <v>JONI</v>
      </c>
      <c r="L30" s="37" t="str">
        <f t="shared" si="5"/>
        <v>ZILBER</v>
      </c>
      <c r="M30" s="38">
        <f t="shared" si="5"/>
        <v>3</v>
      </c>
      <c r="N30" s="38">
        <f t="shared" si="5"/>
        <v>0</v>
      </c>
      <c r="O30" s="38">
        <f t="shared" si="5"/>
        <v>2</v>
      </c>
      <c r="P30" s="38">
        <f t="shared" si="5"/>
        <v>1</v>
      </c>
      <c r="Q30" s="38">
        <f t="shared" si="5"/>
        <v>1</v>
      </c>
      <c r="R30" s="38">
        <f t="shared" si="5"/>
        <v>4</v>
      </c>
      <c r="S30" s="38">
        <f t="shared" si="5"/>
        <v>-3</v>
      </c>
      <c r="T30" s="39">
        <f t="shared" si="5"/>
        <v>1</v>
      </c>
      <c r="V30" s="14" t="str">
        <f>'Chaves 3a.Fase'!D3</f>
        <v>ELISANDRO</v>
      </c>
      <c r="W30" s="14">
        <f>COUNT(ECFLA_JOGOS)</f>
        <v>3</v>
      </c>
      <c r="X30" s="14">
        <f>COUNTIF(Groupstage_Winne,'Chaves 3a.Fase'!D3)</f>
        <v>2</v>
      </c>
      <c r="Y30" s="14">
        <f>COUNTIF(Groupstage_Lose,'Chaves 3a.Fase'!D3)</f>
        <v>0</v>
      </c>
      <c r="Z30" s="14">
        <f>W30-(X30+Y30)</f>
        <v>1</v>
      </c>
      <c r="AA30" s="14">
        <f>SUM(ECFLA_JOGOS)</f>
        <v>5</v>
      </c>
      <c r="AB30" s="14">
        <f>SUM(ECFLA_ADV)</f>
        <v>1</v>
      </c>
      <c r="AC30" s="14">
        <f>AA30-AB30</f>
        <v>4</v>
      </c>
      <c r="AD30" s="14">
        <f>X30*Winpoints+Z30*Drawpoints</f>
        <v>7</v>
      </c>
      <c r="AE30" s="14" t="str">
        <f>IF($AD30&lt;=$AD29,$V30,$V29)</f>
        <v>ZILBER</v>
      </c>
      <c r="AF30" s="14">
        <f>VLOOKUP($AE30,$V29:$AD32,9,FALSE)</f>
        <v>1</v>
      </c>
      <c r="AG30" s="14" t="str">
        <f>IF(AF30&gt;=AF32,AE30,AE32)</f>
        <v>JOÃO GARIMA</v>
      </c>
      <c r="AH30" s="14">
        <f>VLOOKUP($AG30,$V29:$AD32,9,FALSE)</f>
        <v>2</v>
      </c>
      <c r="AI30" s="14" t="str">
        <f>IF($AH30&gt;=$AH31,$AG30,$AG31)</f>
        <v>PAIM</v>
      </c>
      <c r="AJ30" s="14">
        <f>VLOOKUP($AI30,$V29:$AD32,9,FALSE)</f>
        <v>6</v>
      </c>
      <c r="AK30" s="14">
        <f>VLOOKUP($AI30,$V29:$AD32,8,FALSE)</f>
        <v>2</v>
      </c>
      <c r="AL30" s="14" t="str">
        <f>IF(AND($AJ29=$AJ30,$AK30&gt;$AK29),$AI29,$AI30)</f>
        <v>PAIM</v>
      </c>
      <c r="AM30" s="14">
        <f>VLOOKUP($AL30,$V29:$AD32,9,FALSE)</f>
        <v>6</v>
      </c>
      <c r="AN30" s="14">
        <f>VLOOKUP($AL30,$V29:$AD32,8,FALSE)</f>
        <v>2</v>
      </c>
      <c r="AO30" s="14" t="str">
        <f>IF(AND($AM30=$AM32,$AN32&gt;$AN30),$AL32,$AL30)</f>
        <v>PAIM</v>
      </c>
      <c r="AP30" s="14">
        <f>VLOOKUP($AO30,$V29:$AD32,9,FALSE)</f>
        <v>6</v>
      </c>
      <c r="AQ30" s="14">
        <f>VLOOKUP($AO30,$V29:$AD32,8,FALSE)</f>
        <v>2</v>
      </c>
      <c r="AR30" s="14" t="str">
        <f>IF(AND($AP30=$AP31,$AQ31&gt;$AQ30),$AO31,$AO30)</f>
        <v>PAIM</v>
      </c>
      <c r="AS30" s="14">
        <f>VLOOKUP($AR30,$V29:$AD32,9,FALSE)</f>
        <v>6</v>
      </c>
      <c r="AT30" s="14">
        <f>VLOOKUP($AR30,$V29:$AD32,8,FALSE)</f>
        <v>2</v>
      </c>
      <c r="AU30" s="14">
        <f>VLOOKUP($AR30,$V29:$AD32,6,FALSE)</f>
        <v>4</v>
      </c>
      <c r="AV30" s="14" t="str">
        <f>IF(AND($AS29=$AS30,$AT29=$AT30,$AU30&gt;$AU29),$AR29,$AR30)</f>
        <v>PAIM</v>
      </c>
      <c r="AW30" s="14">
        <f>VLOOKUP($AV30,$V29:$AD32,9,FALSE)</f>
        <v>6</v>
      </c>
      <c r="AX30" s="14">
        <f>VLOOKUP($AV30,$V29:$AD32,8,FALSE)</f>
        <v>2</v>
      </c>
      <c r="AY30" s="14">
        <f>VLOOKUP($AV30,$V29:$AD32,6,FALSE)</f>
        <v>4</v>
      </c>
      <c r="AZ30" s="14" t="str">
        <f>IF(AND($AW30=$AW32,$AX30=$AX32,$AY32&gt;$AY30),$AV32,$AV30)</f>
        <v>PAIM</v>
      </c>
      <c r="BA30" s="14">
        <f>VLOOKUP($AZ30,$V29:$AD32,9,FALSE)</f>
        <v>6</v>
      </c>
      <c r="BB30" s="14">
        <f>VLOOKUP($AZ30,$V29:$AD32,8,FALSE)</f>
        <v>2</v>
      </c>
      <c r="BC30" s="14">
        <f>VLOOKUP($AZ30,$V29:$AD32,6,FALSE)</f>
        <v>4</v>
      </c>
      <c r="BD30" s="14" t="str">
        <f>IF(AND($BA30=$BA31,$BB30=$BB31,$BC31&gt;$BC30),$AZ31,$AZ30)</f>
        <v>PAIM</v>
      </c>
      <c r="BE30" s="14">
        <f>VLOOKUP($BD30,$V29:$AD32,9,FALSE)</f>
        <v>6</v>
      </c>
      <c r="BF30" s="14">
        <f>VLOOKUP($BD30,$V29:$AD32,8,FALSE)</f>
        <v>2</v>
      </c>
      <c r="BG30" s="14">
        <f>VLOOKUP($BD30,$V29:$AD32,6,FALSE)</f>
        <v>4</v>
      </c>
      <c r="BK30" s="14" t="str">
        <f>BD30</f>
        <v>PAIM</v>
      </c>
      <c r="BL30" s="14">
        <f>VLOOKUP($BK30,$V29:$AD32,2,FALSE)</f>
        <v>3</v>
      </c>
      <c r="BM30" s="14">
        <f>VLOOKUP($BK30,$V29:$AD32,3,FALSE)</f>
        <v>2</v>
      </c>
      <c r="BN30" s="14">
        <f>VLOOKUP($BK30,$V29:$AD32,4,FALSE)</f>
        <v>1</v>
      </c>
      <c r="BO30" s="14">
        <f>VLOOKUP($BK30,$V29:$AD32,5,FALSE)</f>
        <v>0</v>
      </c>
      <c r="BP30" s="14">
        <f>VLOOKUP($BK30,$V29:$AD32,6,FALSE)</f>
        <v>4</v>
      </c>
      <c r="BQ30" s="14">
        <f>VLOOKUP($BK30,$V29:$AD32,7,FALSE)</f>
        <v>2</v>
      </c>
      <c r="BR30" s="14">
        <f>VLOOKUP($BK30,$V29:$AD32,8,FALSE)</f>
        <v>2</v>
      </c>
      <c r="BS30" s="14">
        <f>VLOOKUP($BK30,$V29:$AD32,9,FALSE)</f>
        <v>6</v>
      </c>
    </row>
    <row r="31" spans="1:71" ht="13.5" customHeight="1" thickBot="1">
      <c r="A31" s="26">
        <v>28</v>
      </c>
      <c r="B31" s="33">
        <v>7</v>
      </c>
      <c r="C31" s="34" t="str">
        <f>'Chaves 3a.Fase'!D2</f>
        <v>ZILBER</v>
      </c>
      <c r="D31" s="49">
        <v>0</v>
      </c>
      <c r="E31" s="48">
        <v>2</v>
      </c>
      <c r="F31" s="44" t="str">
        <f>'Chaves 3a.Fase'!D3</f>
        <v>ELISANDRO</v>
      </c>
      <c r="G31" s="54" t="str">
        <f>'Carnet 2a.Fase'!L51</f>
        <v>OSMAR</v>
      </c>
      <c r="I31" s="14" t="str">
        <f t="shared" si="1"/>
        <v>ELISANDRO</v>
      </c>
      <c r="J31" s="14" t="str">
        <f t="shared" si="2"/>
        <v>ZILBER</v>
      </c>
      <c r="V31" s="14" t="str">
        <f>'Chaves 3a.Fase'!D4</f>
        <v>PAIM</v>
      </c>
      <c r="W31" s="14">
        <f>COUNT(CAIXERAL_JOGOS)</f>
        <v>3</v>
      </c>
      <c r="X31" s="14">
        <f>COUNTIF(Groupstage_Winne,'Chaves 3a.Fase'!D4)</f>
        <v>2</v>
      </c>
      <c r="Y31" s="14">
        <f>COUNTIF(Groupstage_Lose,'Chaves 3a.Fase'!D4)</f>
        <v>1</v>
      </c>
      <c r="Z31" s="14">
        <f>W31-(X31+Y31)</f>
        <v>0</v>
      </c>
      <c r="AA31" s="14">
        <f>SUM(CAIXERAL_JOGOS)</f>
        <v>4</v>
      </c>
      <c r="AB31" s="14">
        <f>SUM(CAIXERAL_ADV)</f>
        <v>2</v>
      </c>
      <c r="AC31" s="14">
        <f>AA31-AB31</f>
        <v>2</v>
      </c>
      <c r="AD31" s="14">
        <f>X31*Winpoints+Z31*Drawpoints</f>
        <v>6</v>
      </c>
      <c r="AE31" s="14" t="str">
        <f>IF($AD31&gt;=$AD32,$V31,$V32)</f>
        <v>PAIM</v>
      </c>
      <c r="AF31" s="14">
        <f>VLOOKUP($AE31,$V29:$AD32,9,FALSE)</f>
        <v>6</v>
      </c>
      <c r="AG31" s="14" t="str">
        <f>IF($AF31&lt;=$AF29,$AE31,$AE29)</f>
        <v>PAIM</v>
      </c>
      <c r="AH31" s="14">
        <f>VLOOKUP($AG31,$V29:$AD32,9,FALSE)</f>
        <v>6</v>
      </c>
      <c r="AI31" s="14" t="str">
        <f>IF($AH31&lt;=$AH30,$AG31,$AG30)</f>
        <v>JOÃO GARIMA</v>
      </c>
      <c r="AJ31" s="14">
        <f>VLOOKUP($AI31,$V29:$AD32,9,FALSE)</f>
        <v>2</v>
      </c>
      <c r="AK31" s="14">
        <f>VLOOKUP($AI31,$V29:$AD32,8,FALSE)</f>
        <v>-3</v>
      </c>
      <c r="AL31" s="14" t="str">
        <f>IF(AND($AJ31=$AJ32,$AK32&gt;$AK31),$AI32,$AI31)</f>
        <v>JOÃO GARIMA</v>
      </c>
      <c r="AM31" s="14">
        <f>VLOOKUP($AL31,$V29:$AD32,9,FALSE)</f>
        <v>2</v>
      </c>
      <c r="AN31" s="14">
        <f>VLOOKUP($AL31,$V29:$AD32,8,FALSE)</f>
        <v>-3</v>
      </c>
      <c r="AO31" s="14" t="str">
        <f>IF(AND($AM29=$AM31,$AN31&gt;$AN29),$AL29,$AL31)</f>
        <v>JOÃO GARIMA</v>
      </c>
      <c r="AP31" s="14">
        <f>VLOOKUP($AO31,$V29:$AD32,9,FALSE)</f>
        <v>2</v>
      </c>
      <c r="AQ31" s="14">
        <f>VLOOKUP($AO31,$V29:$AD32,8,FALSE)</f>
        <v>-3</v>
      </c>
      <c r="AR31" s="14" t="str">
        <f>IF(AND($AP30=$AP31,$AQ31&gt;$AQ30),$AO30,$AO31)</f>
        <v>JOÃO GARIMA</v>
      </c>
      <c r="AS31" s="14">
        <f>VLOOKUP($AR31,$V29:$AD32,9,FALSE)</f>
        <v>2</v>
      </c>
      <c r="AT31" s="14">
        <f>VLOOKUP($AR31,$V29:$AD32,8,FALSE)</f>
        <v>-3</v>
      </c>
      <c r="AU31" s="14">
        <f>VLOOKUP($AR31,$V29:$AD32,6,FALSE)</f>
        <v>2</v>
      </c>
      <c r="AV31" s="14" t="str">
        <f>IF(AND($AS31=$AS32,$AT31=$AT32,$AU32&gt;$AU31),$AR32,$AR31)</f>
        <v>JOÃO GARIMA</v>
      </c>
      <c r="AW31" s="14">
        <f>VLOOKUP($AV31,$V29:$AD32,9,FALSE)</f>
        <v>2</v>
      </c>
      <c r="AX31" s="14">
        <f>VLOOKUP($AV31,$V29:$AD32,8,FALSE)</f>
        <v>-3</v>
      </c>
      <c r="AY31" s="14">
        <f>VLOOKUP($AV31,$V29:$AD32,6,FALSE)</f>
        <v>2</v>
      </c>
      <c r="AZ31" s="14" t="str">
        <f>IF(AND($AW29=$AW31,$AX29=$AX31,$AY31&gt;$AY29),$AV29,$AV31)</f>
        <v>JOÃO GARIMA</v>
      </c>
      <c r="BA31" s="14">
        <f>VLOOKUP($AZ31,$V29:$AD32,9,FALSE)</f>
        <v>2</v>
      </c>
      <c r="BB31" s="14">
        <f>VLOOKUP($AZ31,$V29:$AD32,8,FALSE)</f>
        <v>-3</v>
      </c>
      <c r="BC31" s="14">
        <f>VLOOKUP($AZ31,$V29:$AD32,6,FALSE)</f>
        <v>2</v>
      </c>
      <c r="BD31" s="14" t="str">
        <f>IF(AND($BA30=$BA31,$BB30=$BB31,$BC31&gt;$BC30),$AZ30,$AZ31)</f>
        <v>JOÃO GARIMA</v>
      </c>
      <c r="BE31" s="14">
        <f>VLOOKUP($BD31,$V29:$AD32,9,FALSE)</f>
        <v>2</v>
      </c>
      <c r="BF31" s="14">
        <f>VLOOKUP($BD31,$V29:$AD32,8,FALSE)</f>
        <v>-3</v>
      </c>
      <c r="BG31" s="14">
        <f>VLOOKUP($BD31,$V29:$AD32,6,FALSE)</f>
        <v>2</v>
      </c>
      <c r="BK31" s="14" t="str">
        <f>BD31</f>
        <v>JOÃO GARIMA</v>
      </c>
      <c r="BL31" s="14">
        <f>VLOOKUP($BK31,$V29:$AD32,2,FALSE)</f>
        <v>3</v>
      </c>
      <c r="BM31" s="14">
        <f>VLOOKUP($BK31,$V29:$AD32,3,FALSE)</f>
        <v>0</v>
      </c>
      <c r="BN31" s="14">
        <f>VLOOKUP($BK31,$V29:$AD32,4,FALSE)</f>
        <v>1</v>
      </c>
      <c r="BO31" s="14">
        <f>VLOOKUP($BK31,$V29:$AD32,5,FALSE)</f>
        <v>2</v>
      </c>
      <c r="BP31" s="14">
        <f>VLOOKUP($BK31,$V29:$AD32,6,FALSE)</f>
        <v>2</v>
      </c>
      <c r="BQ31" s="14">
        <f>VLOOKUP($BK31,$V29:$AD32,7,FALSE)</f>
        <v>5</v>
      </c>
      <c r="BR31" s="14">
        <f>VLOOKUP($BK31,$V29:$AD32,8,FALSE)</f>
        <v>-3</v>
      </c>
      <c r="BS31" s="14">
        <f>VLOOKUP($BK31,$V29:$AD32,9,FALSE)</f>
        <v>2</v>
      </c>
    </row>
    <row r="32" spans="1:71" ht="13.5" customHeight="1" thickBot="1">
      <c r="A32" s="26">
        <v>28</v>
      </c>
      <c r="B32" s="33">
        <v>8</v>
      </c>
      <c r="C32" s="34" t="str">
        <f>'Chaves 3a.Fase'!D4</f>
        <v>PAIM</v>
      </c>
      <c r="D32" s="49">
        <v>3</v>
      </c>
      <c r="E32" s="48">
        <v>0</v>
      </c>
      <c r="F32" s="44" t="str">
        <f>'Chaves 3a.Fase'!D5</f>
        <v>JOÃO GARIMA</v>
      </c>
      <c r="G32" s="54" t="str">
        <f>'Carnet 2a.Fase'!L58</f>
        <v>DIOGO MALLET</v>
      </c>
      <c r="I32" s="14" t="str">
        <f t="shared" si="1"/>
        <v>PAIM</v>
      </c>
      <c r="J32" s="14" t="str">
        <f t="shared" si="2"/>
        <v>JOÃO GARIMA</v>
      </c>
      <c r="V32" s="14" t="str">
        <f>'Chaves 3a.Fase'!D5</f>
        <v>JOÃO GARIMA</v>
      </c>
      <c r="W32" s="14">
        <f>COUNT(TRIANON_JOGOS)</f>
        <v>3</v>
      </c>
      <c r="X32" s="14">
        <f>COUNTIF(Groupstage_Winne,'Chaves 3a.Fase'!D5)</f>
        <v>0</v>
      </c>
      <c r="Y32" s="14">
        <f>COUNTIF(Groupstage_Lose,'Chaves 3a.Fase'!D5)</f>
        <v>1</v>
      </c>
      <c r="Z32" s="14">
        <f>W32-(X32+Y32)</f>
        <v>2</v>
      </c>
      <c r="AA32" s="14">
        <f>SUM(TRIANON_JOGOS)</f>
        <v>2</v>
      </c>
      <c r="AB32" s="14">
        <f>SUM(TRIANON_ADV)</f>
        <v>5</v>
      </c>
      <c r="AC32" s="14">
        <f>AA32-AB32</f>
        <v>-3</v>
      </c>
      <c r="AD32" s="14">
        <f>X32*Winpoints+Z32*Drawpoints</f>
        <v>2</v>
      </c>
      <c r="AE32" s="14" t="str">
        <f>IF($AD32&lt;=$AD31,$V32,$V31)</f>
        <v>JOÃO GARIMA</v>
      </c>
      <c r="AF32" s="14">
        <f>VLOOKUP($AE32,$V29:$AD32,9,FALSE)</f>
        <v>2</v>
      </c>
      <c r="AG32" s="14" t="str">
        <f>IF(AF32&lt;=AF30,AE32,AE30)</f>
        <v>ZILBER</v>
      </c>
      <c r="AH32" s="14">
        <f>VLOOKUP($AG32,$V29:$AD32,9,FALSE)</f>
        <v>1</v>
      </c>
      <c r="AI32" s="14" t="str">
        <f>IF($AH32&lt;=$AH29,$AG32,$AG29)</f>
        <v>ZILBER</v>
      </c>
      <c r="AJ32" s="14">
        <f>VLOOKUP($AI32,$V29:$AD32,9,FALSE)</f>
        <v>1</v>
      </c>
      <c r="AK32" s="14">
        <f>VLOOKUP($AI32,$V29:$AD32,8,FALSE)</f>
        <v>-3</v>
      </c>
      <c r="AL32" s="14" t="str">
        <f>IF(AND($AJ31=$AJ32,$AK32&gt;$AK31),$AI31,$AI32)</f>
        <v>ZILBER</v>
      </c>
      <c r="AM32" s="14">
        <f>VLOOKUP($AL32,$V29:$AD32,9,FALSE)</f>
        <v>1</v>
      </c>
      <c r="AN32" s="14">
        <f>VLOOKUP($AL32,$V29:$AD32,8,FALSE)</f>
        <v>-3</v>
      </c>
      <c r="AO32" s="14" t="str">
        <f>IF(AND($AM30=$AM32,$AN32&gt;$AN30),$AL30,$AL32)</f>
        <v>ZILBER</v>
      </c>
      <c r="AP32" s="14">
        <f>VLOOKUP($AO32,$V29:$AD32,9,FALSE)</f>
        <v>1</v>
      </c>
      <c r="AQ32" s="14">
        <f>VLOOKUP($AO32,$V29:$AD32,8,FALSE)</f>
        <v>-3</v>
      </c>
      <c r="AR32" s="14" t="str">
        <f>IF(AND($AP29=$AP32,$AQ32&gt;$AQ29),$AO29,$AO32)</f>
        <v>ZILBER</v>
      </c>
      <c r="AS32" s="14">
        <f>VLOOKUP($AR32,$V29:$AD32,9,FALSE)</f>
        <v>1</v>
      </c>
      <c r="AT32" s="14">
        <f>VLOOKUP($AR32,$V29:$AD32,8,FALSE)</f>
        <v>-3</v>
      </c>
      <c r="AU32" s="14">
        <f>VLOOKUP($AR32,$V29:$AD32,6,FALSE)</f>
        <v>1</v>
      </c>
      <c r="AV32" s="14" t="str">
        <f>IF(AND($AS31=$AS32,$AT31=$AT32,$AU32&gt;$AU31),$AR31,$AR32)</f>
        <v>ZILBER</v>
      </c>
      <c r="AW32" s="14">
        <f>VLOOKUP($AV32,$V29:$AD32,9,FALSE)</f>
        <v>1</v>
      </c>
      <c r="AX32" s="14">
        <f>VLOOKUP($AV32,$V29:$AD32,8,FALSE)</f>
        <v>-3</v>
      </c>
      <c r="AY32" s="14">
        <f>VLOOKUP($AV32,$V29:$AD32,6,FALSE)</f>
        <v>1</v>
      </c>
      <c r="AZ32" s="14" t="str">
        <f>IF(AND($AW30=$AW32,$AX30=$AX32,$AY32&gt;$AY30),$AV30,$AV32)</f>
        <v>ZILBER</v>
      </c>
      <c r="BA32" s="14">
        <f>VLOOKUP($AZ32,$V29:$AD32,9,FALSE)</f>
        <v>1</v>
      </c>
      <c r="BB32" s="14">
        <f>VLOOKUP($AZ32,$V29:$AD32,8,FALSE)</f>
        <v>-3</v>
      </c>
      <c r="BC32" s="14">
        <f>VLOOKUP($AZ32,$V29:$AD32,6,FALSE)</f>
        <v>1</v>
      </c>
      <c r="BD32" s="14" t="str">
        <f>IF(AND($BA29=$BA32,$BB29=$BB32,$BC32&gt;$BC29),$AZ29,$AZ32)</f>
        <v>ZILBER</v>
      </c>
      <c r="BE32" s="14">
        <f>VLOOKUP($BD32,$V29:$AD32,9,FALSE)</f>
        <v>1</v>
      </c>
      <c r="BF32" s="14">
        <f>VLOOKUP($BD32,$V29:$AD32,8,FALSE)</f>
        <v>-3</v>
      </c>
      <c r="BG32" s="14">
        <f>VLOOKUP($BD32,$V29:$AD32,6,FALSE)</f>
        <v>1</v>
      </c>
      <c r="BK32" s="14" t="str">
        <f>BD32</f>
        <v>ZILBER</v>
      </c>
      <c r="BL32" s="14">
        <f>VLOOKUP($BK32,$V29:$AD32,2,FALSE)</f>
        <v>3</v>
      </c>
      <c r="BM32" s="14">
        <f>VLOOKUP($BK32,$V29:$AD32,3,FALSE)</f>
        <v>0</v>
      </c>
      <c r="BN32" s="14">
        <f>VLOOKUP($BK32,$V29:$AD32,4,FALSE)</f>
        <v>2</v>
      </c>
      <c r="BO32" s="14">
        <f>VLOOKUP($BK32,$V29:$AD32,5,FALSE)</f>
        <v>1</v>
      </c>
      <c r="BP32" s="14">
        <f>VLOOKUP($BK32,$V29:$AD32,6,FALSE)</f>
        <v>1</v>
      </c>
      <c r="BQ32" s="14">
        <f>VLOOKUP($BK32,$V29:$AD32,7,FALSE)</f>
        <v>4</v>
      </c>
      <c r="BR32" s="14">
        <f>VLOOKUP($BK32,$V29:$AD32,8,FALSE)</f>
        <v>-3</v>
      </c>
      <c r="BS32" s="14">
        <f>VLOOKUP($BK32,$V29:$AD32,9,FALSE)</f>
        <v>1</v>
      </c>
    </row>
    <row r="33" ht="13.5" customHeight="1"/>
    <row r="34" ht="13.5" customHeight="1"/>
    <row r="35" spans="1:8" ht="13.5" customHeight="1">
      <c r="A35" s="71" t="s">
        <v>180</v>
      </c>
      <c r="B35" s="72"/>
      <c r="C35" s="72"/>
      <c r="D35" s="72"/>
      <c r="E35" s="72"/>
      <c r="F35" s="72"/>
      <c r="G35" s="72"/>
      <c r="H35" s="73"/>
    </row>
    <row r="36" spans="1:8" ht="13.5" customHeight="1">
      <c r="A36" s="28" t="s">
        <v>102</v>
      </c>
      <c r="B36" s="53" t="s">
        <v>103</v>
      </c>
      <c r="C36" s="30"/>
      <c r="D36" s="30"/>
      <c r="E36" s="30"/>
      <c r="F36" s="30"/>
      <c r="G36" s="31" t="s">
        <v>104</v>
      </c>
      <c r="H36" s="32"/>
    </row>
    <row r="37" spans="1:8" ht="13.5" customHeight="1" thickBot="1">
      <c r="A37" s="74" t="s">
        <v>181</v>
      </c>
      <c r="B37" s="74"/>
      <c r="C37" s="74"/>
      <c r="D37" s="74"/>
      <c r="E37" s="74"/>
      <c r="F37" s="74"/>
      <c r="G37" s="74"/>
      <c r="H37" s="74"/>
    </row>
    <row r="38" spans="1:7" ht="13.5" customHeight="1" thickBot="1">
      <c r="A38" s="15">
        <v>29</v>
      </c>
      <c r="B38" s="15">
        <v>0.75</v>
      </c>
      <c r="C38" s="59" t="s">
        <v>240</v>
      </c>
      <c r="D38" s="49">
        <v>1</v>
      </c>
      <c r="E38" s="48">
        <v>0</v>
      </c>
      <c r="F38" s="59" t="s">
        <v>37</v>
      </c>
      <c r="G38" s="60" t="str">
        <f>L9</f>
        <v>BRANDÃO</v>
      </c>
    </row>
    <row r="39" spans="1:7" ht="13.5" customHeight="1" thickBot="1">
      <c r="A39" s="15">
        <v>30</v>
      </c>
      <c r="B39" s="15">
        <v>2</v>
      </c>
      <c r="C39" s="59" t="s">
        <v>241</v>
      </c>
      <c r="D39" s="49">
        <v>1</v>
      </c>
      <c r="E39" s="48">
        <v>0</v>
      </c>
      <c r="F39" s="59" t="s">
        <v>15</v>
      </c>
      <c r="G39" s="60" t="str">
        <f>L16</f>
        <v>JOSÉ</v>
      </c>
    </row>
    <row r="40" spans="1:7" ht="13.5" customHeight="1" thickBot="1">
      <c r="A40" s="15">
        <v>31</v>
      </c>
      <c r="B40" s="15">
        <v>3</v>
      </c>
      <c r="C40" s="59" t="s">
        <v>242</v>
      </c>
      <c r="D40" s="49">
        <v>2</v>
      </c>
      <c r="E40" s="48">
        <v>1</v>
      </c>
      <c r="F40" s="59" t="s">
        <v>16</v>
      </c>
      <c r="G40" s="60" t="str">
        <f>L23</f>
        <v>EMERSON</v>
      </c>
    </row>
    <row r="41" spans="1:7" ht="13.5" customHeight="1" thickBot="1">
      <c r="A41" s="15">
        <v>32</v>
      </c>
      <c r="B41" s="15">
        <v>4</v>
      </c>
      <c r="C41" s="59" t="s">
        <v>243</v>
      </c>
      <c r="D41" s="49">
        <v>0</v>
      </c>
      <c r="E41" s="48">
        <v>2</v>
      </c>
      <c r="F41" s="59" t="s">
        <v>33</v>
      </c>
      <c r="G41" s="60" t="str">
        <f>L30</f>
        <v>ZILBER</v>
      </c>
    </row>
    <row r="42" spans="1:5" ht="13.5" customHeight="1">
      <c r="A42" s="55"/>
      <c r="D42" s="35"/>
      <c r="E42" s="36"/>
    </row>
    <row r="43" ht="13.5" customHeight="1"/>
    <row r="44" spans="1:8" ht="13.5" customHeight="1">
      <c r="A44" s="71" t="s">
        <v>182</v>
      </c>
      <c r="B44" s="72"/>
      <c r="C44" s="72"/>
      <c r="D44" s="72"/>
      <c r="E44" s="72"/>
      <c r="F44" s="72"/>
      <c r="G44" s="72"/>
      <c r="H44" s="73"/>
    </row>
    <row r="45" spans="1:8" ht="13.5" customHeight="1">
      <c r="A45" s="28" t="s">
        <v>102</v>
      </c>
      <c r="B45" s="53" t="s">
        <v>103</v>
      </c>
      <c r="C45" s="30"/>
      <c r="D45" s="30"/>
      <c r="E45" s="30"/>
      <c r="F45" s="30"/>
      <c r="G45" s="31" t="s">
        <v>104</v>
      </c>
      <c r="H45" s="32"/>
    </row>
    <row r="46" spans="1:8" ht="13.5" customHeight="1" thickBot="1">
      <c r="A46" s="74" t="s">
        <v>183</v>
      </c>
      <c r="B46" s="74"/>
      <c r="C46" s="74"/>
      <c r="D46" s="74"/>
      <c r="E46" s="74"/>
      <c r="F46" s="74"/>
      <c r="G46" s="74"/>
      <c r="H46" s="74"/>
    </row>
    <row r="47" spans="1:7" ht="13.5" customHeight="1" thickBot="1">
      <c r="A47" s="15">
        <v>33</v>
      </c>
      <c r="B47" s="15">
        <v>0.8645833333333334</v>
      </c>
      <c r="C47" s="59" t="s">
        <v>244</v>
      </c>
      <c r="D47" s="49">
        <v>2</v>
      </c>
      <c r="E47" s="48">
        <v>1</v>
      </c>
      <c r="F47" s="59" t="s">
        <v>74</v>
      </c>
      <c r="G47" s="60" t="s">
        <v>37</v>
      </c>
    </row>
    <row r="48" spans="1:7" ht="13.5" customHeight="1" thickBot="1">
      <c r="A48" s="15">
        <v>34</v>
      </c>
      <c r="B48" s="15">
        <v>2</v>
      </c>
      <c r="C48" s="59" t="s">
        <v>242</v>
      </c>
      <c r="D48" s="49">
        <v>0</v>
      </c>
      <c r="E48" s="48">
        <v>1</v>
      </c>
      <c r="F48" s="59" t="s">
        <v>71</v>
      </c>
      <c r="G48" s="60" t="s">
        <v>15</v>
      </c>
    </row>
    <row r="49" ht="13.5" customHeight="1"/>
    <row r="50" ht="13.5" customHeight="1"/>
    <row r="51" spans="1:9" ht="13.5" customHeight="1">
      <c r="A51" s="71" t="s">
        <v>184</v>
      </c>
      <c r="B51" s="72"/>
      <c r="C51" s="72"/>
      <c r="D51" s="72"/>
      <c r="E51" s="72"/>
      <c r="F51" s="72"/>
      <c r="G51" s="72"/>
      <c r="H51" s="73"/>
      <c r="I51" s="14" t="str">
        <f>IF(D54&lt;&gt;"",IF(D54&gt;E54,C54,IF(E54&gt;D54,F54,"Draw")),"")</f>
        <v>Draw</v>
      </c>
    </row>
    <row r="52" spans="1:8" ht="13.5" customHeight="1">
      <c r="A52" s="28" t="s">
        <v>102</v>
      </c>
      <c r="B52" s="53" t="s">
        <v>103</v>
      </c>
      <c r="C52" s="30"/>
      <c r="D52" s="30"/>
      <c r="E52" s="30"/>
      <c r="F52" s="30"/>
      <c r="G52" s="30" t="s">
        <v>104</v>
      </c>
      <c r="H52" s="32"/>
    </row>
    <row r="53" spans="1:8" ht="13.5" customHeight="1" thickBot="1">
      <c r="A53" s="74" t="s">
        <v>185</v>
      </c>
      <c r="B53" s="74"/>
      <c r="C53" s="74"/>
      <c r="D53" s="74"/>
      <c r="E53" s="74"/>
      <c r="F53" s="74"/>
      <c r="G53" s="74"/>
      <c r="H53" s="74"/>
    </row>
    <row r="54" spans="1:7" ht="13.5" customHeight="1" thickBot="1">
      <c r="A54" s="15">
        <v>35</v>
      </c>
      <c r="B54" s="15">
        <v>0.8645833333333334</v>
      </c>
      <c r="C54" s="59" t="s">
        <v>244</v>
      </c>
      <c r="D54" s="49">
        <v>1</v>
      </c>
      <c r="E54" s="48">
        <v>1</v>
      </c>
      <c r="F54" s="59" t="s">
        <v>71</v>
      </c>
      <c r="G54" s="60" t="s">
        <v>245</v>
      </c>
    </row>
    <row r="55" spans="1:7" ht="13.5" thickBot="1">
      <c r="A55" s="15">
        <v>36</v>
      </c>
      <c r="B55" s="15">
        <v>2</v>
      </c>
      <c r="C55" s="59"/>
      <c r="D55" s="49"/>
      <c r="E55" s="48"/>
      <c r="F55" s="59"/>
      <c r="G55" s="60"/>
    </row>
    <row r="56" spans="2:3" ht="13.5" customHeight="1">
      <c r="B56" s="56"/>
      <c r="C56" s="57"/>
    </row>
    <row r="57" spans="1:6" ht="13.5" customHeight="1">
      <c r="A57" s="58" t="s">
        <v>186</v>
      </c>
      <c r="C57" s="61"/>
      <c r="D57" s="61" t="s">
        <v>33</v>
      </c>
      <c r="E57" s="62"/>
      <c r="F57" s="61"/>
    </row>
    <row r="58" spans="1:6" ht="12.75">
      <c r="A58" s="58" t="s">
        <v>187</v>
      </c>
      <c r="C58" s="61"/>
      <c r="D58" s="61" t="s">
        <v>71</v>
      </c>
      <c r="E58" s="62"/>
      <c r="F58" s="61"/>
    </row>
    <row r="59" spans="1:6" ht="12.75">
      <c r="A59" s="58" t="s">
        <v>188</v>
      </c>
      <c r="C59" s="61"/>
      <c r="D59" s="61" t="s">
        <v>35</v>
      </c>
      <c r="E59" s="62"/>
      <c r="F59" s="61"/>
    </row>
    <row r="60" spans="1:6" ht="12.75">
      <c r="A60" s="58" t="s">
        <v>189</v>
      </c>
      <c r="C60" s="61"/>
      <c r="D60" s="61" t="s">
        <v>74</v>
      </c>
      <c r="E60" s="62"/>
      <c r="F60" s="61"/>
    </row>
  </sheetData>
  <sheetProtection/>
  <printOptions/>
  <pageMargins left="0.3937007874015748" right="0" top="0.5118110236220472" bottom="0.5118110236220472" header="0" footer="0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57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0" customWidth="1"/>
    <col min="2" max="2" width="5.7109375" style="0" customWidth="1"/>
    <col min="3" max="3" width="2.00390625" style="64" customWidth="1"/>
    <col min="4" max="4" width="5.7109375" style="0" customWidth="1"/>
    <col min="5" max="5" width="22.7109375" style="0" customWidth="1"/>
    <col min="7" max="7" width="22.7109375" style="0" customWidth="1"/>
    <col min="8" max="8" width="5.7109375" style="0" customWidth="1"/>
    <col min="9" max="9" width="2.00390625" style="0" customWidth="1"/>
    <col min="10" max="10" width="5.7109375" style="0" customWidth="1"/>
    <col min="11" max="11" width="22.7109375" style="0" customWidth="1"/>
  </cols>
  <sheetData>
    <row r="1" ht="15" customHeight="1" thickBot="1"/>
    <row r="2" spans="1:11" s="67" customFormat="1" ht="15" customHeight="1" thickBot="1">
      <c r="A2" s="65" t="s">
        <v>190</v>
      </c>
      <c r="B2" s="78" t="s">
        <v>191</v>
      </c>
      <c r="C2" s="79"/>
      <c r="D2" s="80"/>
      <c r="E2" s="66" t="str">
        <f>'Carnet 1a.Fase'!G7</f>
        <v>JULINHO</v>
      </c>
      <c r="G2" s="65" t="s">
        <v>192</v>
      </c>
      <c r="H2" s="78" t="s">
        <v>191</v>
      </c>
      <c r="I2" s="79"/>
      <c r="J2" s="80"/>
      <c r="K2" s="66" t="str">
        <f>'Carnet 1a.Fase'!G8</f>
        <v>DANI</v>
      </c>
    </row>
    <row r="3" spans="1:11" ht="15.75" customHeight="1" thickBot="1">
      <c r="A3" s="68" t="str">
        <f>'Carnet 1a.Fase'!C7</f>
        <v>PAULO</v>
      </c>
      <c r="B3" s="69"/>
      <c r="C3" s="70" t="s">
        <v>193</v>
      </c>
      <c r="D3" s="69"/>
      <c r="E3" s="68" t="str">
        <f>'Carnet 1a.Fase'!F7</f>
        <v>ROBSON</v>
      </c>
      <c r="G3" s="68" t="str">
        <f>'Carnet 1a.Fase'!C8</f>
        <v>LEÃO</v>
      </c>
      <c r="H3" s="69"/>
      <c r="I3" s="70" t="s">
        <v>193</v>
      </c>
      <c r="J3" s="69"/>
      <c r="K3" s="68" t="str">
        <f>'Carnet 1a.Fase'!F8</f>
        <v>DIOGO BRAGA</v>
      </c>
    </row>
    <row r="4" spans="1:11" ht="15" customHeight="1">
      <c r="A4" s="81"/>
      <c r="B4" s="82"/>
      <c r="D4" s="81"/>
      <c r="E4" s="82"/>
      <c r="G4" s="81"/>
      <c r="H4" s="82"/>
      <c r="I4" s="64"/>
      <c r="J4" s="81"/>
      <c r="K4" s="82"/>
    </row>
    <row r="5" spans="1:11" ht="15" customHeight="1">
      <c r="A5" s="83"/>
      <c r="B5" s="84"/>
      <c r="D5" s="83"/>
      <c r="E5" s="84"/>
      <c r="G5" s="83"/>
      <c r="H5" s="84"/>
      <c r="I5" s="64"/>
      <c r="J5" s="83"/>
      <c r="K5" s="84"/>
    </row>
    <row r="6" spans="1:11" ht="15" customHeight="1" thickBot="1">
      <c r="A6" s="85"/>
      <c r="B6" s="86"/>
      <c r="D6" s="85"/>
      <c r="E6" s="86"/>
      <c r="G6" s="85"/>
      <c r="H6" s="86"/>
      <c r="I6" s="64"/>
      <c r="J6" s="85"/>
      <c r="K6" s="86"/>
    </row>
    <row r="8" ht="15" customHeight="1" thickBot="1"/>
    <row r="9" spans="1:11" s="67" customFormat="1" ht="15" customHeight="1" thickBot="1">
      <c r="A9" s="65" t="s">
        <v>194</v>
      </c>
      <c r="B9" s="78" t="s">
        <v>191</v>
      </c>
      <c r="C9" s="79"/>
      <c r="D9" s="80"/>
      <c r="E9" s="66" t="str">
        <f>'Carnet 1a.Fase'!G9</f>
        <v>JONI</v>
      </c>
      <c r="G9" s="65" t="s">
        <v>195</v>
      </c>
      <c r="H9" s="78" t="s">
        <v>191</v>
      </c>
      <c r="I9" s="79"/>
      <c r="J9" s="80"/>
      <c r="K9" s="66" t="str">
        <f>'Carnet 1a.Fase'!G10</f>
        <v>OCHOINHA</v>
      </c>
    </row>
    <row r="10" spans="1:11" ht="15.75" customHeight="1" thickBot="1">
      <c r="A10" s="68" t="str">
        <f>'Carnet 1a.Fase'!C9</f>
        <v>CHRISTIAN</v>
      </c>
      <c r="B10" s="69"/>
      <c r="C10" s="70" t="s">
        <v>193</v>
      </c>
      <c r="D10" s="69"/>
      <c r="E10" s="68" t="str">
        <f>'Carnet 1a.Fase'!F9</f>
        <v>BETÃO</v>
      </c>
      <c r="G10" s="68" t="str">
        <f>'Carnet 1a.Fase'!C10</f>
        <v>ELIAS</v>
      </c>
      <c r="H10" s="69"/>
      <c r="I10" s="70" t="s">
        <v>193</v>
      </c>
      <c r="J10" s="69"/>
      <c r="K10" s="68" t="str">
        <f>'Carnet 1a.Fase'!F10</f>
        <v>ALDYR</v>
      </c>
    </row>
    <row r="11" spans="1:11" ht="15" customHeight="1">
      <c r="A11" s="81"/>
      <c r="B11" s="82"/>
      <c r="D11" s="81"/>
      <c r="E11" s="82"/>
      <c r="G11" s="81"/>
      <c r="H11" s="82"/>
      <c r="I11" s="64"/>
      <c r="J11" s="81"/>
      <c r="K11" s="82"/>
    </row>
    <row r="12" spans="1:11" ht="15" customHeight="1">
      <c r="A12" s="83"/>
      <c r="B12" s="84"/>
      <c r="D12" s="83"/>
      <c r="E12" s="84"/>
      <c r="G12" s="83"/>
      <c r="H12" s="84"/>
      <c r="I12" s="64"/>
      <c r="J12" s="83"/>
      <c r="K12" s="84"/>
    </row>
    <row r="13" spans="1:11" ht="15" customHeight="1" thickBot="1">
      <c r="A13" s="85"/>
      <c r="B13" s="86"/>
      <c r="D13" s="85"/>
      <c r="E13" s="86"/>
      <c r="G13" s="85"/>
      <c r="H13" s="86"/>
      <c r="I13" s="64"/>
      <c r="J13" s="85"/>
      <c r="K13" s="86"/>
    </row>
    <row r="15" ht="15" customHeight="1" thickBot="1"/>
    <row r="16" spans="1:11" s="67" customFormat="1" ht="15" customHeight="1" thickBot="1">
      <c r="A16" s="65" t="s">
        <v>196</v>
      </c>
      <c r="B16" s="78" t="s">
        <v>191</v>
      </c>
      <c r="C16" s="79"/>
      <c r="D16" s="80"/>
      <c r="E16" s="66" t="str">
        <f>'Carnet 1a.Fase'!G11</f>
        <v>KEVIN</v>
      </c>
      <c r="G16" s="65" t="s">
        <v>197</v>
      </c>
      <c r="H16" s="78" t="s">
        <v>191</v>
      </c>
      <c r="I16" s="79"/>
      <c r="J16" s="80"/>
      <c r="K16" s="66" t="str">
        <f>'Carnet 1a.Fase'!G12</f>
        <v>RENAN</v>
      </c>
    </row>
    <row r="17" spans="1:11" ht="15.75" customHeight="1" thickBot="1">
      <c r="A17" s="68" t="str">
        <f>'Carnet 1a.Fase'!C11</f>
        <v>RODRIGO B.</v>
      </c>
      <c r="B17" s="69"/>
      <c r="C17" s="70" t="s">
        <v>193</v>
      </c>
      <c r="D17" s="69"/>
      <c r="E17" s="68" t="str">
        <f>'Carnet 1a.Fase'!F11</f>
        <v>CAJU</v>
      </c>
      <c r="G17" s="68" t="str">
        <f>'Carnet 1a.Fase'!C12</f>
        <v>ANTONIO</v>
      </c>
      <c r="H17" s="69"/>
      <c r="I17" s="70" t="s">
        <v>193</v>
      </c>
      <c r="J17" s="69"/>
      <c r="K17" s="68" t="str">
        <f>'Carnet 1a.Fase'!F12</f>
        <v>ZILBER</v>
      </c>
    </row>
    <row r="18" spans="1:11" ht="15" customHeight="1">
      <c r="A18" s="81"/>
      <c r="B18" s="82"/>
      <c r="D18" s="81"/>
      <c r="E18" s="82"/>
      <c r="G18" s="81"/>
      <c r="H18" s="82"/>
      <c r="I18" s="64"/>
      <c r="J18" s="81"/>
      <c r="K18" s="82"/>
    </row>
    <row r="19" spans="1:11" ht="15" customHeight="1">
      <c r="A19" s="83"/>
      <c r="B19" s="84"/>
      <c r="D19" s="83"/>
      <c r="E19" s="84"/>
      <c r="G19" s="83"/>
      <c r="H19" s="84"/>
      <c r="I19" s="64"/>
      <c r="J19" s="83"/>
      <c r="K19" s="84"/>
    </row>
    <row r="20" spans="1:11" ht="15" customHeight="1" thickBot="1">
      <c r="A20" s="85"/>
      <c r="B20" s="86"/>
      <c r="D20" s="85"/>
      <c r="E20" s="86"/>
      <c r="G20" s="85"/>
      <c r="H20" s="86"/>
      <c r="I20" s="64"/>
      <c r="J20" s="85"/>
      <c r="K20" s="86"/>
    </row>
    <row r="22" ht="15" customHeight="1" thickBot="1"/>
    <row r="23" spans="1:11" s="67" customFormat="1" ht="15" customHeight="1" thickBot="1">
      <c r="A23" s="65" t="s">
        <v>198</v>
      </c>
      <c r="B23" s="78" t="s">
        <v>191</v>
      </c>
      <c r="C23" s="79"/>
      <c r="D23" s="80"/>
      <c r="E23" s="66" t="str">
        <f>'Carnet 1a.Fase'!G13</f>
        <v>FELIPE</v>
      </c>
      <c r="G23" s="65" t="s">
        <v>199</v>
      </c>
      <c r="H23" s="78" t="s">
        <v>191</v>
      </c>
      <c r="I23" s="79"/>
      <c r="J23" s="80"/>
      <c r="K23" s="66" t="str">
        <f>'Carnet 1a.Fase'!G14</f>
        <v>OSMAR</v>
      </c>
    </row>
    <row r="24" spans="1:11" ht="15.75" customHeight="1" thickBot="1">
      <c r="A24" s="68" t="str">
        <f>'Carnet 1a.Fase'!C13</f>
        <v>LUCIANO</v>
      </c>
      <c r="B24" s="69"/>
      <c r="C24" s="70" t="s">
        <v>193</v>
      </c>
      <c r="D24" s="69"/>
      <c r="E24" s="68" t="str">
        <f>'Carnet 1a.Fase'!F13</f>
        <v>JULIO</v>
      </c>
      <c r="G24" s="68" t="str">
        <f>'Carnet 1a.Fase'!C14</f>
        <v>EMERSON</v>
      </c>
      <c r="H24" s="69"/>
      <c r="I24" s="70" t="s">
        <v>193</v>
      </c>
      <c r="J24" s="69"/>
      <c r="K24" s="68" t="str">
        <f>'Carnet 1a.Fase'!F14</f>
        <v>PAIM</v>
      </c>
    </row>
    <row r="25" spans="1:11" ht="15" customHeight="1">
      <c r="A25" s="81"/>
      <c r="B25" s="82"/>
      <c r="D25" s="81"/>
      <c r="E25" s="82"/>
      <c r="G25" s="81"/>
      <c r="H25" s="82"/>
      <c r="I25" s="64"/>
      <c r="J25" s="81"/>
      <c r="K25" s="82"/>
    </row>
    <row r="26" spans="1:11" ht="15" customHeight="1">
      <c r="A26" s="83"/>
      <c r="B26" s="84"/>
      <c r="D26" s="83"/>
      <c r="E26" s="84"/>
      <c r="G26" s="83"/>
      <c r="H26" s="84"/>
      <c r="I26" s="64"/>
      <c r="J26" s="83"/>
      <c r="K26" s="84"/>
    </row>
    <row r="27" spans="1:11" ht="15" customHeight="1" thickBot="1">
      <c r="A27" s="85"/>
      <c r="B27" s="86"/>
      <c r="D27" s="85"/>
      <c r="E27" s="86"/>
      <c r="G27" s="85"/>
      <c r="H27" s="86"/>
      <c r="I27" s="64"/>
      <c r="J27" s="85"/>
      <c r="K27" s="86"/>
    </row>
    <row r="31" ht="15" customHeight="1" thickBot="1"/>
    <row r="32" spans="1:11" ht="15" customHeight="1" thickBot="1">
      <c r="A32" s="65" t="s">
        <v>200</v>
      </c>
      <c r="B32" s="78" t="s">
        <v>191</v>
      </c>
      <c r="C32" s="79"/>
      <c r="D32" s="80"/>
      <c r="E32" s="66" t="str">
        <f>'Carnet 1a.Fase'!G15</f>
        <v>JOÃO GARIMA</v>
      </c>
      <c r="F32" s="67"/>
      <c r="G32" s="65" t="s">
        <v>201</v>
      </c>
      <c r="H32" s="78" t="s">
        <v>191</v>
      </c>
      <c r="I32" s="79"/>
      <c r="J32" s="80"/>
      <c r="K32" s="66" t="str">
        <f>'Carnet 1a.Fase'!G16</f>
        <v>EVERTON</v>
      </c>
    </row>
    <row r="33" spans="1:11" ht="15" customHeight="1" thickBot="1">
      <c r="A33" s="68" t="str">
        <f>'Carnet 1a.Fase'!C15</f>
        <v>MARCOS JUNQ.</v>
      </c>
      <c r="B33" s="69"/>
      <c r="C33" s="70" t="s">
        <v>193</v>
      </c>
      <c r="D33" s="69"/>
      <c r="E33" s="68" t="str">
        <f>'Carnet 1a.Fase'!F15</f>
        <v>UMBERTO</v>
      </c>
      <c r="G33" s="68" t="str">
        <f>'Carnet 1a.Fase'!C16</f>
        <v>MICHEL</v>
      </c>
      <c r="H33" s="69"/>
      <c r="I33" s="70" t="s">
        <v>193</v>
      </c>
      <c r="J33" s="69"/>
      <c r="K33" s="68" t="str">
        <f>'Carnet 1a.Fase'!F16</f>
        <v>DIOGO MALLET</v>
      </c>
    </row>
    <row r="34" spans="1:11" ht="15" customHeight="1">
      <c r="A34" s="81"/>
      <c r="B34" s="82"/>
      <c r="D34" s="81"/>
      <c r="E34" s="82"/>
      <c r="G34" s="81"/>
      <c r="H34" s="82"/>
      <c r="I34" s="64"/>
      <c r="J34" s="81"/>
      <c r="K34" s="82"/>
    </row>
    <row r="35" spans="1:11" ht="15" customHeight="1">
      <c r="A35" s="83"/>
      <c r="B35" s="84"/>
      <c r="D35" s="83"/>
      <c r="E35" s="84"/>
      <c r="G35" s="83"/>
      <c r="H35" s="84"/>
      <c r="I35" s="64"/>
      <c r="J35" s="83"/>
      <c r="K35" s="84"/>
    </row>
    <row r="36" spans="1:11" ht="15" customHeight="1" thickBot="1">
      <c r="A36" s="85"/>
      <c r="B36" s="86"/>
      <c r="D36" s="85"/>
      <c r="E36" s="86"/>
      <c r="G36" s="85"/>
      <c r="H36" s="86"/>
      <c r="I36" s="64"/>
      <c r="J36" s="85"/>
      <c r="K36" s="86"/>
    </row>
    <row r="38" ht="15" customHeight="1" thickBot="1"/>
    <row r="39" spans="1:11" ht="15" customHeight="1" thickBot="1">
      <c r="A39" s="65" t="s">
        <v>202</v>
      </c>
      <c r="B39" s="78" t="s">
        <v>191</v>
      </c>
      <c r="C39" s="79"/>
      <c r="D39" s="80"/>
      <c r="E39" s="66" t="str">
        <f>'Carnet 1a.Fase'!G17</f>
        <v>PUFAL</v>
      </c>
      <c r="F39" s="67"/>
      <c r="G39" s="65" t="s">
        <v>203</v>
      </c>
      <c r="H39" s="78" t="s">
        <v>191</v>
      </c>
      <c r="I39" s="79"/>
      <c r="J39" s="80"/>
      <c r="K39" s="66" t="str">
        <f>'Carnet 1a.Fase'!G18</f>
        <v>ROGÉRIO FEIJÓ</v>
      </c>
    </row>
    <row r="40" spans="1:11" ht="15" customHeight="1" thickBot="1">
      <c r="A40" s="68" t="str">
        <f>'Carnet 1a.Fase'!C17</f>
        <v>FERNANDO</v>
      </c>
      <c r="B40" s="69"/>
      <c r="C40" s="70" t="s">
        <v>193</v>
      </c>
      <c r="D40" s="69"/>
      <c r="E40" s="68" t="str">
        <f>'Carnet 1a.Fase'!F17</f>
        <v>NILMAR</v>
      </c>
      <c r="G40" s="68" t="str">
        <f>'Carnet 1a.Fase'!C18</f>
        <v>AUGUSTO</v>
      </c>
      <c r="H40" s="69"/>
      <c r="I40" s="70" t="s">
        <v>193</v>
      </c>
      <c r="J40" s="69"/>
      <c r="K40" s="68" t="str">
        <f>'Carnet 1a.Fase'!F18</f>
        <v>SILVIO</v>
      </c>
    </row>
    <row r="41" spans="1:11" ht="15" customHeight="1">
      <c r="A41" s="81"/>
      <c r="B41" s="82"/>
      <c r="D41" s="81"/>
      <c r="E41" s="82"/>
      <c r="G41" s="81"/>
      <c r="H41" s="82"/>
      <c r="I41" s="64"/>
      <c r="J41" s="81"/>
      <c r="K41" s="82"/>
    </row>
    <row r="42" spans="1:11" ht="15" customHeight="1">
      <c r="A42" s="83"/>
      <c r="B42" s="84"/>
      <c r="D42" s="83"/>
      <c r="E42" s="84"/>
      <c r="G42" s="83"/>
      <c r="H42" s="84"/>
      <c r="I42" s="64"/>
      <c r="J42" s="83"/>
      <c r="K42" s="84"/>
    </row>
    <row r="43" spans="1:11" ht="15" customHeight="1" thickBot="1">
      <c r="A43" s="85"/>
      <c r="B43" s="86"/>
      <c r="D43" s="85"/>
      <c r="E43" s="86"/>
      <c r="G43" s="85"/>
      <c r="H43" s="86"/>
      <c r="I43" s="64"/>
      <c r="J43" s="85"/>
      <c r="K43" s="86"/>
    </row>
    <row r="45" ht="15" customHeight="1" thickBot="1"/>
    <row r="46" spans="1:11" ht="15" customHeight="1" thickBot="1">
      <c r="A46" s="65" t="s">
        <v>204</v>
      </c>
      <c r="B46" s="78" t="s">
        <v>191</v>
      </c>
      <c r="C46" s="79"/>
      <c r="D46" s="80"/>
      <c r="E46" s="66" t="str">
        <f>'Carnet 1a.Fase'!G19</f>
        <v>CRISTIANO</v>
      </c>
      <c r="F46" s="67"/>
      <c r="G46" s="65" t="s">
        <v>205</v>
      </c>
      <c r="H46" s="78" t="s">
        <v>191</v>
      </c>
      <c r="I46" s="79"/>
      <c r="J46" s="80"/>
      <c r="K46" s="66" t="str">
        <f>'Carnet 1a.Fase'!G20</f>
        <v>VINHAS</v>
      </c>
    </row>
    <row r="47" spans="1:11" ht="15" customHeight="1" thickBot="1">
      <c r="A47" s="68" t="str">
        <f>'Carnet 1a.Fase'!C19</f>
        <v>MARQUINHO</v>
      </c>
      <c r="B47" s="69"/>
      <c r="C47" s="70" t="s">
        <v>193</v>
      </c>
      <c r="D47" s="69"/>
      <c r="E47" s="68" t="str">
        <f>'Carnet 1a.Fase'!F19</f>
        <v>SERGIO</v>
      </c>
      <c r="G47" s="68" t="str">
        <f>'Carnet 1a.Fase'!C20</f>
        <v>SINVAL</v>
      </c>
      <c r="H47" s="69"/>
      <c r="I47" s="70" t="s">
        <v>193</v>
      </c>
      <c r="J47" s="69"/>
      <c r="K47" s="68" t="str">
        <f>'Carnet 1a.Fase'!F20</f>
        <v>MARCOS ANT.</v>
      </c>
    </row>
    <row r="48" spans="1:11" ht="15" customHeight="1">
      <c r="A48" s="81"/>
      <c r="B48" s="82"/>
      <c r="D48" s="81"/>
      <c r="E48" s="82"/>
      <c r="G48" s="81"/>
      <c r="H48" s="82"/>
      <c r="I48" s="64"/>
      <c r="J48" s="81"/>
      <c r="K48" s="82"/>
    </row>
    <row r="49" spans="1:11" ht="15" customHeight="1">
      <c r="A49" s="83"/>
      <c r="B49" s="84"/>
      <c r="D49" s="83"/>
      <c r="E49" s="84"/>
      <c r="G49" s="83"/>
      <c r="H49" s="84"/>
      <c r="I49" s="64"/>
      <c r="J49" s="83"/>
      <c r="K49" s="84"/>
    </row>
    <row r="50" spans="1:11" ht="15" customHeight="1" thickBot="1">
      <c r="A50" s="85"/>
      <c r="B50" s="86"/>
      <c r="D50" s="85"/>
      <c r="E50" s="86"/>
      <c r="G50" s="85"/>
      <c r="H50" s="86"/>
      <c r="I50" s="64"/>
      <c r="J50" s="85"/>
      <c r="K50" s="86"/>
    </row>
    <row r="52" ht="15" customHeight="1" thickBot="1"/>
    <row r="53" spans="1:11" ht="15" customHeight="1" thickBot="1">
      <c r="A53" s="65" t="s">
        <v>206</v>
      </c>
      <c r="B53" s="78" t="s">
        <v>191</v>
      </c>
      <c r="C53" s="79"/>
      <c r="D53" s="80"/>
      <c r="E53" s="66" t="str">
        <f>'Carnet 1a.Fase'!G21</f>
        <v>LEANDRO</v>
      </c>
      <c r="F53" s="67"/>
      <c r="G53" s="65" t="s">
        <v>207</v>
      </c>
      <c r="H53" s="78" t="s">
        <v>191</v>
      </c>
      <c r="I53" s="79"/>
      <c r="J53" s="80"/>
      <c r="K53" s="66" t="str">
        <f>'Carnet 1a.Fase'!G22</f>
        <v>DUDA</v>
      </c>
    </row>
    <row r="54" spans="1:11" ht="15" customHeight="1" thickBot="1">
      <c r="A54" s="68" t="str">
        <f>'Carnet 1a.Fase'!C21</f>
        <v>ITALO</v>
      </c>
      <c r="B54" s="69"/>
      <c r="C54" s="70" t="s">
        <v>193</v>
      </c>
      <c r="D54" s="69"/>
      <c r="E54" s="68" t="str">
        <f>'Carnet 1a.Fase'!F21</f>
        <v>MALLET</v>
      </c>
      <c r="G54" s="68" t="str">
        <f>'Carnet 1a.Fase'!C22</f>
        <v>AZAMBUJA</v>
      </c>
      <c r="H54" s="69"/>
      <c r="I54" s="70" t="s">
        <v>193</v>
      </c>
      <c r="J54" s="69"/>
      <c r="K54" s="68" t="str">
        <f>'Carnet 1a.Fase'!F22</f>
        <v>ALEX</v>
      </c>
    </row>
    <row r="55" spans="1:11" ht="15" customHeight="1">
      <c r="A55" s="81"/>
      <c r="B55" s="82"/>
      <c r="D55" s="81"/>
      <c r="E55" s="82"/>
      <c r="G55" s="81"/>
      <c r="H55" s="82"/>
      <c r="I55" s="64"/>
      <c r="J55" s="81"/>
      <c r="K55" s="82"/>
    </row>
    <row r="56" spans="1:11" ht="15" customHeight="1">
      <c r="A56" s="83"/>
      <c r="B56" s="84"/>
      <c r="D56" s="83"/>
      <c r="E56" s="84"/>
      <c r="G56" s="83"/>
      <c r="H56" s="84"/>
      <c r="I56" s="64"/>
      <c r="J56" s="83"/>
      <c r="K56" s="84"/>
    </row>
    <row r="57" spans="1:11" ht="15" customHeight="1" thickBot="1">
      <c r="A57" s="85"/>
      <c r="B57" s="86"/>
      <c r="D57" s="85"/>
      <c r="E57" s="86"/>
      <c r="G57" s="85"/>
      <c r="H57" s="86"/>
      <c r="I57" s="64"/>
      <c r="J57" s="85"/>
      <c r="K57" s="86"/>
    </row>
    <row r="61" ht="15" customHeight="1" thickBot="1"/>
    <row r="62" spans="1:11" ht="15" customHeight="1" thickBot="1">
      <c r="A62" s="65" t="s">
        <v>208</v>
      </c>
      <c r="B62" s="78" t="s">
        <v>191</v>
      </c>
      <c r="C62" s="79"/>
      <c r="D62" s="80"/>
      <c r="E62" s="66" t="str">
        <f>'Carnet 1a.Fase'!G24</f>
        <v>PAULO</v>
      </c>
      <c r="F62" s="67"/>
      <c r="G62" s="65" t="s">
        <v>209</v>
      </c>
      <c r="H62" s="78" t="s">
        <v>191</v>
      </c>
      <c r="I62" s="79"/>
      <c r="J62" s="80"/>
      <c r="K62" s="66" t="str">
        <f>'Carnet 1a.Fase'!G25</f>
        <v>LEÃO</v>
      </c>
    </row>
    <row r="63" spans="1:11" ht="15" customHeight="1" thickBot="1">
      <c r="A63" s="68" t="str">
        <f>'Carnet 1a.Fase'!C24</f>
        <v>JULINHO</v>
      </c>
      <c r="B63" s="69"/>
      <c r="C63" s="70" t="s">
        <v>193</v>
      </c>
      <c r="D63" s="69"/>
      <c r="E63" s="68" t="str">
        <f>'Carnet 1a.Fase'!F24</f>
        <v>OCHOINHA</v>
      </c>
      <c r="G63" s="68" t="str">
        <f>'Carnet 1a.Fase'!C25</f>
        <v>DANI</v>
      </c>
      <c r="H63" s="69"/>
      <c r="I63" s="70" t="s">
        <v>193</v>
      </c>
      <c r="J63" s="69"/>
      <c r="K63" s="68" t="str">
        <f>'Carnet 1a.Fase'!F25</f>
        <v>JONI</v>
      </c>
    </row>
    <row r="64" spans="1:11" ht="15" customHeight="1">
      <c r="A64" s="81"/>
      <c r="B64" s="82"/>
      <c r="D64" s="81"/>
      <c r="E64" s="82"/>
      <c r="G64" s="81"/>
      <c r="H64" s="82"/>
      <c r="I64" s="64"/>
      <c r="J64" s="81"/>
      <c r="K64" s="82"/>
    </row>
    <row r="65" spans="1:11" ht="15" customHeight="1">
      <c r="A65" s="83"/>
      <c r="B65" s="84"/>
      <c r="D65" s="83"/>
      <c r="E65" s="84"/>
      <c r="G65" s="83"/>
      <c r="H65" s="84"/>
      <c r="I65" s="64"/>
      <c r="J65" s="83"/>
      <c r="K65" s="84"/>
    </row>
    <row r="66" spans="1:11" ht="15" customHeight="1" thickBot="1">
      <c r="A66" s="85"/>
      <c r="B66" s="86"/>
      <c r="D66" s="85"/>
      <c r="E66" s="86"/>
      <c r="G66" s="85"/>
      <c r="H66" s="86"/>
      <c r="I66" s="64"/>
      <c r="J66" s="85"/>
      <c r="K66" s="86"/>
    </row>
    <row r="68" ht="15" customHeight="1" thickBot="1"/>
    <row r="69" spans="1:11" ht="15" customHeight="1" thickBot="1">
      <c r="A69" s="65" t="s">
        <v>210</v>
      </c>
      <c r="B69" s="78" t="s">
        <v>191</v>
      </c>
      <c r="C69" s="79"/>
      <c r="D69" s="80"/>
      <c r="E69" s="66" t="str">
        <f>'Carnet 1a.Fase'!G26</f>
        <v>DIOGO BRAGA</v>
      </c>
      <c r="F69" s="67"/>
      <c r="G69" s="65" t="s">
        <v>211</v>
      </c>
      <c r="H69" s="78" t="s">
        <v>191</v>
      </c>
      <c r="I69" s="79"/>
      <c r="J69" s="80"/>
      <c r="K69" s="66" t="str">
        <f>'Carnet 1a.Fase'!G27</f>
        <v>ROBSON</v>
      </c>
    </row>
    <row r="70" spans="1:11" ht="15" customHeight="1" thickBot="1">
      <c r="A70" s="68" t="str">
        <f>'Carnet 1a.Fase'!C26</f>
        <v>KEVIN</v>
      </c>
      <c r="B70" s="69"/>
      <c r="C70" s="70" t="s">
        <v>193</v>
      </c>
      <c r="D70" s="69"/>
      <c r="E70" s="68" t="str">
        <f>'Carnet 1a.Fase'!F26</f>
        <v>OSMAR</v>
      </c>
      <c r="G70" s="68" t="str">
        <f>'Carnet 1a.Fase'!C27</f>
        <v>RENAN</v>
      </c>
      <c r="H70" s="69"/>
      <c r="I70" s="70" t="s">
        <v>193</v>
      </c>
      <c r="J70" s="69"/>
      <c r="K70" s="68" t="str">
        <f>'Carnet 1a.Fase'!F27</f>
        <v>FELIPE</v>
      </c>
    </row>
    <row r="71" spans="1:11" ht="15" customHeight="1">
      <c r="A71" s="81"/>
      <c r="B71" s="82"/>
      <c r="D71" s="81"/>
      <c r="E71" s="82"/>
      <c r="G71" s="81"/>
      <c r="H71" s="82"/>
      <c r="I71" s="64"/>
      <c r="J71" s="81"/>
      <c r="K71" s="82"/>
    </row>
    <row r="72" spans="1:11" ht="15" customHeight="1">
      <c r="A72" s="83"/>
      <c r="B72" s="84"/>
      <c r="D72" s="83"/>
      <c r="E72" s="84"/>
      <c r="G72" s="83"/>
      <c r="H72" s="84"/>
      <c r="I72" s="64"/>
      <c r="J72" s="83"/>
      <c r="K72" s="84"/>
    </row>
    <row r="73" spans="1:11" ht="15" customHeight="1" thickBot="1">
      <c r="A73" s="85"/>
      <c r="B73" s="86"/>
      <c r="D73" s="85"/>
      <c r="E73" s="86"/>
      <c r="G73" s="85"/>
      <c r="H73" s="86"/>
      <c r="I73" s="64"/>
      <c r="J73" s="85"/>
      <c r="K73" s="86"/>
    </row>
    <row r="75" ht="15" customHeight="1" thickBot="1"/>
    <row r="76" spans="1:11" ht="15" customHeight="1" thickBot="1">
      <c r="A76" s="65" t="s">
        <v>212</v>
      </c>
      <c r="B76" s="78" t="s">
        <v>191</v>
      </c>
      <c r="C76" s="79"/>
      <c r="D76" s="80"/>
      <c r="E76" s="66" t="str">
        <f>'Carnet 1a.Fase'!G28</f>
        <v>CHRISTIAN</v>
      </c>
      <c r="F76" s="67"/>
      <c r="G76" s="65" t="s">
        <v>213</v>
      </c>
      <c r="H76" s="78" t="s">
        <v>191</v>
      </c>
      <c r="I76" s="79"/>
      <c r="J76" s="80"/>
      <c r="K76" s="66" t="str">
        <f>'Carnet 1a.Fase'!G29</f>
        <v>ELIAS</v>
      </c>
    </row>
    <row r="77" spans="1:11" ht="15" customHeight="1" thickBot="1">
      <c r="A77" s="68" t="str">
        <f>'Carnet 1a.Fase'!C28</f>
        <v>JOÃO GARIMA</v>
      </c>
      <c r="B77" s="69"/>
      <c r="C77" s="70" t="s">
        <v>193</v>
      </c>
      <c r="D77" s="69"/>
      <c r="E77" s="68" t="str">
        <f>'Carnet 1a.Fase'!F28</f>
        <v>ROGÉRIO FEIJÓ</v>
      </c>
      <c r="G77" s="68" t="str">
        <f>'Carnet 1a.Fase'!C29</f>
        <v>EVERTON</v>
      </c>
      <c r="H77" s="69"/>
      <c r="I77" s="70" t="s">
        <v>193</v>
      </c>
      <c r="J77" s="69"/>
      <c r="K77" s="68" t="str">
        <f>'Carnet 1a.Fase'!F29</f>
        <v>PUFAL</v>
      </c>
    </row>
    <row r="78" spans="1:11" ht="15" customHeight="1">
      <c r="A78" s="81"/>
      <c r="B78" s="82"/>
      <c r="D78" s="81"/>
      <c r="E78" s="82"/>
      <c r="G78" s="81"/>
      <c r="H78" s="82"/>
      <c r="I78" s="64"/>
      <c r="J78" s="81"/>
      <c r="K78" s="82"/>
    </row>
    <row r="79" spans="1:11" ht="15" customHeight="1">
      <c r="A79" s="83"/>
      <c r="B79" s="84"/>
      <c r="D79" s="83"/>
      <c r="E79" s="84"/>
      <c r="G79" s="83"/>
      <c r="H79" s="84"/>
      <c r="I79" s="64"/>
      <c r="J79" s="83"/>
      <c r="K79" s="84"/>
    </row>
    <row r="80" spans="1:11" ht="15" customHeight="1" thickBot="1">
      <c r="A80" s="85"/>
      <c r="B80" s="86"/>
      <c r="D80" s="85"/>
      <c r="E80" s="86"/>
      <c r="G80" s="85"/>
      <c r="H80" s="86"/>
      <c r="I80" s="64"/>
      <c r="J80" s="85"/>
      <c r="K80" s="86"/>
    </row>
    <row r="82" ht="15" customHeight="1" thickBot="1"/>
    <row r="83" spans="1:11" ht="15" customHeight="1" thickBot="1">
      <c r="A83" s="65" t="s">
        <v>214</v>
      </c>
      <c r="B83" s="78" t="s">
        <v>191</v>
      </c>
      <c r="C83" s="79"/>
      <c r="D83" s="80"/>
      <c r="E83" s="66" t="str">
        <f>'Carnet 1a.Fase'!G30</f>
        <v>ALDYR</v>
      </c>
      <c r="F83" s="67"/>
      <c r="G83" s="65" t="s">
        <v>199</v>
      </c>
      <c r="H83" s="78" t="s">
        <v>191</v>
      </c>
      <c r="I83" s="79"/>
      <c r="J83" s="80"/>
      <c r="K83" s="66" t="str">
        <f>'Carnet 1a.Fase'!G31</f>
        <v>BETÃO</v>
      </c>
    </row>
    <row r="84" spans="1:11" ht="15" customHeight="1" thickBot="1">
      <c r="A84" s="68" t="str">
        <f>'Carnet 1a.Fase'!C30</f>
        <v>CRISTIANO</v>
      </c>
      <c r="B84" s="69"/>
      <c r="C84" s="70" t="s">
        <v>193</v>
      </c>
      <c r="D84" s="69"/>
      <c r="E84" s="68" t="str">
        <f>'Carnet 1a.Fase'!F30</f>
        <v>DUDA</v>
      </c>
      <c r="G84" s="68" t="str">
        <f>'Carnet 1a.Fase'!C31</f>
        <v>VINHAS</v>
      </c>
      <c r="H84" s="69"/>
      <c r="I84" s="70" t="s">
        <v>193</v>
      </c>
      <c r="J84" s="69"/>
      <c r="K84" s="68" t="str">
        <f>'Carnet 1a.Fase'!F31</f>
        <v>LEANDRO</v>
      </c>
    </row>
    <row r="85" spans="1:11" ht="15" customHeight="1">
      <c r="A85" s="81"/>
      <c r="B85" s="82"/>
      <c r="D85" s="81"/>
      <c r="E85" s="82"/>
      <c r="G85" s="81"/>
      <c r="H85" s="82"/>
      <c r="I85" s="64"/>
      <c r="J85" s="81"/>
      <c r="K85" s="82"/>
    </row>
    <row r="86" spans="1:11" ht="15" customHeight="1">
      <c r="A86" s="83"/>
      <c r="B86" s="84"/>
      <c r="D86" s="83"/>
      <c r="E86" s="84"/>
      <c r="G86" s="83"/>
      <c r="H86" s="84"/>
      <c r="I86" s="64"/>
      <c r="J86" s="83"/>
      <c r="K86" s="84"/>
    </row>
    <row r="87" spans="1:11" ht="15" customHeight="1" thickBot="1">
      <c r="A87" s="85"/>
      <c r="B87" s="86"/>
      <c r="D87" s="85"/>
      <c r="E87" s="86"/>
      <c r="G87" s="85"/>
      <c r="H87" s="86"/>
      <c r="I87" s="64"/>
      <c r="J87" s="85"/>
      <c r="K87" s="86"/>
    </row>
    <row r="91" ht="15" customHeight="1" thickBot="1"/>
    <row r="92" spans="1:11" ht="15" customHeight="1" thickBot="1">
      <c r="A92" s="65" t="s">
        <v>200</v>
      </c>
      <c r="B92" s="78" t="s">
        <v>191</v>
      </c>
      <c r="C92" s="79"/>
      <c r="D92" s="80"/>
      <c r="E92" s="66" t="str">
        <f>'Carnet 1a.Fase'!G32</f>
        <v>RODRIGO B.</v>
      </c>
      <c r="F92" s="67"/>
      <c r="G92" s="65" t="s">
        <v>215</v>
      </c>
      <c r="H92" s="78" t="s">
        <v>191</v>
      </c>
      <c r="I92" s="79"/>
      <c r="J92" s="80"/>
      <c r="K92" s="66" t="str">
        <f>'Carnet 1a.Fase'!G33</f>
        <v>ANTONIO</v>
      </c>
    </row>
    <row r="93" spans="1:11" ht="15" customHeight="1" thickBot="1">
      <c r="A93" s="68" t="str">
        <f>'Carnet 1a.Fase'!C32</f>
        <v>JORGITO</v>
      </c>
      <c r="B93" s="69"/>
      <c r="C93" s="70" t="s">
        <v>193</v>
      </c>
      <c r="D93" s="69"/>
      <c r="E93" s="68" t="str">
        <f>'Carnet 1a.Fase'!F32</f>
        <v>VINÍCIUS</v>
      </c>
      <c r="G93" s="68" t="str">
        <f>'Carnet 1a.Fase'!C33</f>
        <v>EDISON</v>
      </c>
      <c r="H93" s="69"/>
      <c r="I93" s="70" t="s">
        <v>193</v>
      </c>
      <c r="J93" s="69"/>
      <c r="K93" s="68" t="str">
        <f>'Carnet 1a.Fase'!F33</f>
        <v>BRENO</v>
      </c>
    </row>
    <row r="94" spans="1:11" ht="15" customHeight="1">
      <c r="A94" s="81"/>
      <c r="B94" s="82"/>
      <c r="D94" s="81"/>
      <c r="E94" s="82"/>
      <c r="G94" s="81"/>
      <c r="H94" s="82"/>
      <c r="I94" s="64"/>
      <c r="J94" s="81"/>
      <c r="K94" s="82"/>
    </row>
    <row r="95" spans="1:11" ht="15" customHeight="1">
      <c r="A95" s="83"/>
      <c r="B95" s="84"/>
      <c r="D95" s="83"/>
      <c r="E95" s="84"/>
      <c r="G95" s="83"/>
      <c r="H95" s="84"/>
      <c r="I95" s="64"/>
      <c r="J95" s="83"/>
      <c r="K95" s="84"/>
    </row>
    <row r="96" spans="1:11" ht="15" customHeight="1" thickBot="1">
      <c r="A96" s="85"/>
      <c r="B96" s="86"/>
      <c r="D96" s="85"/>
      <c r="E96" s="86"/>
      <c r="G96" s="85"/>
      <c r="H96" s="86"/>
      <c r="I96" s="64"/>
      <c r="J96" s="85"/>
      <c r="K96" s="86"/>
    </row>
    <row r="98" ht="15" customHeight="1" thickBot="1"/>
    <row r="99" spans="1:11" ht="15" customHeight="1" thickBot="1">
      <c r="A99" s="65" t="s">
        <v>202</v>
      </c>
      <c r="B99" s="78" t="s">
        <v>191</v>
      </c>
      <c r="C99" s="79"/>
      <c r="D99" s="80"/>
      <c r="E99" s="66" t="str">
        <f>'Carnet 1a.Fase'!G34</f>
        <v>ZILBER</v>
      </c>
      <c r="F99" s="67"/>
      <c r="G99" s="65" t="s">
        <v>216</v>
      </c>
      <c r="H99" s="78" t="s">
        <v>191</v>
      </c>
      <c r="I99" s="79"/>
      <c r="J99" s="80"/>
      <c r="K99" s="66" t="str">
        <f>'Carnet 1a.Fase'!G35</f>
        <v>CAJU</v>
      </c>
    </row>
    <row r="100" spans="1:11" ht="15" customHeight="1" thickBot="1">
      <c r="A100" s="68" t="str">
        <f>'Carnet 1a.Fase'!C34</f>
        <v>TERROZO</v>
      </c>
      <c r="B100" s="69"/>
      <c r="C100" s="70" t="s">
        <v>193</v>
      </c>
      <c r="D100" s="69"/>
      <c r="E100" s="68" t="str">
        <f>'Carnet 1a.Fase'!F34</f>
        <v>SANDRO</v>
      </c>
      <c r="G100" s="68" t="str">
        <f>'Carnet 1a.Fase'!C35</f>
        <v>BRANDÃO</v>
      </c>
      <c r="H100" s="69"/>
      <c r="I100" s="70" t="s">
        <v>193</v>
      </c>
      <c r="J100" s="69"/>
      <c r="K100" s="68" t="str">
        <f>'Carnet 1a.Fase'!F35</f>
        <v>JOSÉ</v>
      </c>
    </row>
    <row r="101" spans="1:11" ht="15" customHeight="1">
      <c r="A101" s="81"/>
      <c r="B101" s="82"/>
      <c r="D101" s="81"/>
      <c r="E101" s="82"/>
      <c r="G101" s="81"/>
      <c r="H101" s="82"/>
      <c r="I101" s="64"/>
      <c r="J101" s="81"/>
      <c r="K101" s="82"/>
    </row>
    <row r="102" spans="1:11" ht="15" customHeight="1">
      <c r="A102" s="83"/>
      <c r="B102" s="84"/>
      <c r="D102" s="83"/>
      <c r="E102" s="84"/>
      <c r="G102" s="83"/>
      <c r="H102" s="84"/>
      <c r="I102" s="64"/>
      <c r="J102" s="83"/>
      <c r="K102" s="84"/>
    </row>
    <row r="103" spans="1:11" ht="15" customHeight="1" thickBot="1">
      <c r="A103" s="85"/>
      <c r="B103" s="86"/>
      <c r="D103" s="85"/>
      <c r="E103" s="86"/>
      <c r="G103" s="85"/>
      <c r="H103" s="86"/>
      <c r="I103" s="64"/>
      <c r="J103" s="85"/>
      <c r="K103" s="86"/>
    </row>
    <row r="105" ht="15" customHeight="1" thickBot="1"/>
    <row r="106" spans="1:11" ht="15" customHeight="1" thickBot="1">
      <c r="A106" s="65" t="s">
        <v>204</v>
      </c>
      <c r="B106" s="78" t="s">
        <v>191</v>
      </c>
      <c r="C106" s="79"/>
      <c r="D106" s="80"/>
      <c r="E106" s="66" t="str">
        <f>'Carnet 1a.Fase'!G36</f>
        <v>LUCIANO</v>
      </c>
      <c r="F106" s="67"/>
      <c r="G106" s="65" t="s">
        <v>205</v>
      </c>
      <c r="H106" s="78" t="s">
        <v>191</v>
      </c>
      <c r="I106" s="79"/>
      <c r="J106" s="80"/>
      <c r="K106" s="66" t="str">
        <f>'Carnet 1a.Fase'!G37</f>
        <v>EMERSON</v>
      </c>
    </row>
    <row r="107" spans="1:11" ht="15" customHeight="1" thickBot="1">
      <c r="A107" s="68" t="str">
        <f>'Carnet 1a.Fase'!C36</f>
        <v>THIAGO SCH.</v>
      </c>
      <c r="B107" s="69"/>
      <c r="C107" s="70" t="s">
        <v>193</v>
      </c>
      <c r="D107" s="69"/>
      <c r="E107" s="68" t="str">
        <f>'Carnet 1a.Fase'!F36</f>
        <v>RUI</v>
      </c>
      <c r="G107" s="68" t="str">
        <f>'Carnet 1a.Fase'!C37</f>
        <v>MATEUS</v>
      </c>
      <c r="H107" s="69"/>
      <c r="I107" s="70" t="s">
        <v>193</v>
      </c>
      <c r="J107" s="69"/>
      <c r="K107" s="68" t="str">
        <f>'Carnet 1a.Fase'!F37</f>
        <v>ELISANDRO</v>
      </c>
    </row>
    <row r="108" spans="1:11" ht="15" customHeight="1">
      <c r="A108" s="81"/>
      <c r="B108" s="82"/>
      <c r="D108" s="81"/>
      <c r="E108" s="82"/>
      <c r="G108" s="81"/>
      <c r="H108" s="82"/>
      <c r="I108" s="64"/>
      <c r="J108" s="81"/>
      <c r="K108" s="82"/>
    </row>
    <row r="109" spans="1:11" ht="15" customHeight="1">
      <c r="A109" s="83"/>
      <c r="B109" s="84"/>
      <c r="D109" s="83"/>
      <c r="E109" s="84"/>
      <c r="G109" s="83"/>
      <c r="H109" s="84"/>
      <c r="I109" s="64"/>
      <c r="J109" s="83"/>
      <c r="K109" s="84"/>
    </row>
    <row r="110" spans="1:11" ht="15" customHeight="1" thickBot="1">
      <c r="A110" s="85"/>
      <c r="B110" s="86"/>
      <c r="D110" s="85"/>
      <c r="E110" s="86"/>
      <c r="G110" s="85"/>
      <c r="H110" s="86"/>
      <c r="I110" s="64"/>
      <c r="J110" s="85"/>
      <c r="K110" s="86"/>
    </row>
    <row r="112" ht="15" customHeight="1" thickBot="1"/>
    <row r="113" spans="1:11" ht="15" customHeight="1" thickBot="1">
      <c r="A113" s="65" t="s">
        <v>206</v>
      </c>
      <c r="B113" s="78" t="s">
        <v>191</v>
      </c>
      <c r="C113" s="79"/>
      <c r="D113" s="80"/>
      <c r="E113" s="66" t="str">
        <f>'Carnet 1a.Fase'!G38</f>
        <v>PAIM</v>
      </c>
      <c r="F113" s="67"/>
      <c r="G113" s="65" t="s">
        <v>217</v>
      </c>
      <c r="H113" s="78" t="s">
        <v>191</v>
      </c>
      <c r="I113" s="79"/>
      <c r="J113" s="80"/>
      <c r="K113" s="66" t="str">
        <f>'Carnet 1a.Fase'!G39</f>
        <v>JULIO</v>
      </c>
    </row>
    <row r="114" spans="1:11" ht="15" customHeight="1" thickBot="1">
      <c r="A114" s="68" t="str">
        <f>'Carnet 1a.Fase'!C38</f>
        <v>ROGÉRIO HAR.</v>
      </c>
      <c r="B114" s="69"/>
      <c r="C114" s="70" t="s">
        <v>193</v>
      </c>
      <c r="D114" s="69"/>
      <c r="E114" s="68" t="str">
        <f>'Carnet 1a.Fase'!F38</f>
        <v>VICTOR</v>
      </c>
      <c r="G114" s="68" t="str">
        <f>'Carnet 1a.Fase'!C39</f>
        <v>ALESSANDRO</v>
      </c>
      <c r="H114" s="69"/>
      <c r="I114" s="70" t="s">
        <v>193</v>
      </c>
      <c r="J114" s="69"/>
      <c r="K114" s="68" t="str">
        <f>'Carnet 1a.Fase'!F39</f>
        <v>LEANDRINHO</v>
      </c>
    </row>
    <row r="115" spans="1:11" ht="15" customHeight="1">
      <c r="A115" s="81"/>
      <c r="B115" s="82"/>
      <c r="D115" s="81"/>
      <c r="E115" s="82"/>
      <c r="G115" s="81"/>
      <c r="H115" s="82"/>
      <c r="I115" s="64"/>
      <c r="J115" s="81"/>
      <c r="K115" s="82"/>
    </row>
    <row r="116" spans="1:11" ht="15" customHeight="1">
      <c r="A116" s="83"/>
      <c r="B116" s="84"/>
      <c r="D116" s="83"/>
      <c r="E116" s="84"/>
      <c r="G116" s="83"/>
      <c r="H116" s="84"/>
      <c r="I116" s="64"/>
      <c r="J116" s="83"/>
      <c r="K116" s="84"/>
    </row>
    <row r="117" spans="1:11" ht="15" customHeight="1" thickBot="1">
      <c r="A117" s="85"/>
      <c r="B117" s="86"/>
      <c r="D117" s="85"/>
      <c r="E117" s="86"/>
      <c r="G117" s="85"/>
      <c r="H117" s="86"/>
      <c r="I117" s="64"/>
      <c r="J117" s="85"/>
      <c r="K117" s="86"/>
    </row>
    <row r="121" ht="15" customHeight="1" thickBot="1"/>
    <row r="122" spans="1:11" ht="15" customHeight="1" thickBot="1">
      <c r="A122" s="65" t="s">
        <v>218</v>
      </c>
      <c r="B122" s="78" t="s">
        <v>191</v>
      </c>
      <c r="C122" s="79"/>
      <c r="D122" s="80"/>
      <c r="E122" s="66" t="str">
        <f>'Carnet 1a.Fase'!G41</f>
        <v>JORGITO</v>
      </c>
      <c r="F122" s="67"/>
      <c r="G122" s="65" t="s">
        <v>219</v>
      </c>
      <c r="H122" s="78" t="s">
        <v>191</v>
      </c>
      <c r="I122" s="79"/>
      <c r="J122" s="80"/>
      <c r="K122" s="66" t="str">
        <f>'Carnet 1a.Fase'!G42</f>
        <v>EDISON</v>
      </c>
    </row>
    <row r="123" spans="1:11" ht="15" customHeight="1" thickBot="1">
      <c r="A123" s="68" t="str">
        <f>'Carnet 1a.Fase'!C41</f>
        <v>DIOGO BRAGA</v>
      </c>
      <c r="B123" s="69"/>
      <c r="C123" s="70" t="s">
        <v>193</v>
      </c>
      <c r="D123" s="69"/>
      <c r="E123" s="68" t="str">
        <f>'Carnet 1a.Fase'!F41</f>
        <v>PAULO</v>
      </c>
      <c r="G123" s="68" t="str">
        <f>'Carnet 1a.Fase'!C42</f>
        <v>ROBSON</v>
      </c>
      <c r="H123" s="69"/>
      <c r="I123" s="70" t="s">
        <v>193</v>
      </c>
      <c r="J123" s="69"/>
      <c r="K123" s="68" t="str">
        <f>'Carnet 1a.Fase'!F42</f>
        <v>LEÃO</v>
      </c>
    </row>
    <row r="124" spans="1:11" ht="15" customHeight="1">
      <c r="A124" s="81"/>
      <c r="B124" s="82"/>
      <c r="D124" s="81"/>
      <c r="E124" s="82"/>
      <c r="G124" s="81"/>
      <c r="H124" s="82"/>
      <c r="I124" s="64"/>
      <c r="J124" s="81"/>
      <c r="K124" s="82"/>
    </row>
    <row r="125" spans="1:11" ht="15" customHeight="1">
      <c r="A125" s="83"/>
      <c r="B125" s="84"/>
      <c r="D125" s="83"/>
      <c r="E125" s="84"/>
      <c r="G125" s="83"/>
      <c r="H125" s="84"/>
      <c r="I125" s="64"/>
      <c r="J125" s="83"/>
      <c r="K125" s="84"/>
    </row>
    <row r="126" spans="1:11" ht="15" customHeight="1" thickBot="1">
      <c r="A126" s="85"/>
      <c r="B126" s="86"/>
      <c r="D126" s="85"/>
      <c r="E126" s="86"/>
      <c r="G126" s="85"/>
      <c r="H126" s="86"/>
      <c r="I126" s="64"/>
      <c r="J126" s="85"/>
      <c r="K126" s="86"/>
    </row>
    <row r="128" ht="15" customHeight="1" thickBot="1"/>
    <row r="129" spans="1:11" ht="15" customHeight="1" thickBot="1">
      <c r="A129" s="65" t="s">
        <v>210</v>
      </c>
      <c r="B129" s="78" t="s">
        <v>191</v>
      </c>
      <c r="C129" s="79"/>
      <c r="D129" s="80"/>
      <c r="E129" s="66" t="str">
        <f>'Carnet 1a.Fase'!G43</f>
        <v>BRENO</v>
      </c>
      <c r="F129" s="67"/>
      <c r="G129" s="65" t="s">
        <v>211</v>
      </c>
      <c r="H129" s="78" t="s">
        <v>191</v>
      </c>
      <c r="I129" s="79"/>
      <c r="J129" s="80"/>
      <c r="K129" s="66" t="str">
        <f>'Carnet 1a.Fase'!G44</f>
        <v>VINÍCIUS</v>
      </c>
    </row>
    <row r="130" spans="1:11" ht="15" customHeight="1" thickBot="1">
      <c r="A130" s="68" t="str">
        <f>'Carnet 1a.Fase'!C43</f>
        <v>ALDYR</v>
      </c>
      <c r="B130" s="69"/>
      <c r="C130" s="70" t="s">
        <v>193</v>
      </c>
      <c r="D130" s="69"/>
      <c r="E130" s="68" t="str">
        <f>'Carnet 1a.Fase'!F43</f>
        <v>CHRISTIAN</v>
      </c>
      <c r="G130" s="68" t="str">
        <f>'Carnet 1a.Fase'!C44</f>
        <v>BETÃO</v>
      </c>
      <c r="H130" s="69"/>
      <c r="I130" s="70" t="s">
        <v>193</v>
      </c>
      <c r="J130" s="69"/>
      <c r="K130" s="68" t="str">
        <f>'Carnet 1a.Fase'!F44</f>
        <v>ELIAS</v>
      </c>
    </row>
    <row r="131" spans="1:11" ht="15" customHeight="1">
      <c r="A131" s="81"/>
      <c r="B131" s="82"/>
      <c r="D131" s="81"/>
      <c r="E131" s="82"/>
      <c r="G131" s="81"/>
      <c r="H131" s="82"/>
      <c r="I131" s="64"/>
      <c r="J131" s="81"/>
      <c r="K131" s="82"/>
    </row>
    <row r="132" spans="1:11" ht="15" customHeight="1">
      <c r="A132" s="83"/>
      <c r="B132" s="84"/>
      <c r="D132" s="83"/>
      <c r="E132" s="84"/>
      <c r="G132" s="83"/>
      <c r="H132" s="84"/>
      <c r="I132" s="64"/>
      <c r="J132" s="83"/>
      <c r="K132" s="84"/>
    </row>
    <row r="133" spans="1:11" ht="15" customHeight="1" thickBot="1">
      <c r="A133" s="85"/>
      <c r="B133" s="86"/>
      <c r="D133" s="85"/>
      <c r="E133" s="86"/>
      <c r="G133" s="85"/>
      <c r="H133" s="86"/>
      <c r="I133" s="64"/>
      <c r="J133" s="85"/>
      <c r="K133" s="86"/>
    </row>
    <row r="135" ht="15" customHeight="1" thickBot="1"/>
    <row r="136" spans="1:11" ht="15" customHeight="1" thickBot="1">
      <c r="A136" s="65" t="s">
        <v>220</v>
      </c>
      <c r="B136" s="78" t="s">
        <v>191</v>
      </c>
      <c r="C136" s="79"/>
      <c r="D136" s="80"/>
      <c r="E136" s="66" t="str">
        <f>'Carnet 1a.Fase'!G45</f>
        <v>TERROZO</v>
      </c>
      <c r="F136" s="67"/>
      <c r="G136" s="65" t="s">
        <v>221</v>
      </c>
      <c r="H136" s="78" t="s">
        <v>191</v>
      </c>
      <c r="I136" s="79"/>
      <c r="J136" s="80"/>
      <c r="K136" s="66" t="str">
        <f>'Carnet 1a.Fase'!G46</f>
        <v>BRANDÃO</v>
      </c>
    </row>
    <row r="137" spans="1:11" ht="15" customHeight="1" thickBot="1">
      <c r="A137" s="68" t="str">
        <f>'Carnet 1a.Fase'!C45</f>
        <v>ZILBER</v>
      </c>
      <c r="B137" s="69"/>
      <c r="C137" s="70" t="s">
        <v>193</v>
      </c>
      <c r="D137" s="69"/>
      <c r="E137" s="68" t="str">
        <f>'Carnet 1a.Fase'!F45</f>
        <v>RODRIGO B.</v>
      </c>
      <c r="G137" s="68" t="str">
        <f>'Carnet 1a.Fase'!C46</f>
        <v>CAJU</v>
      </c>
      <c r="H137" s="69"/>
      <c r="I137" s="70" t="s">
        <v>193</v>
      </c>
      <c r="J137" s="69"/>
      <c r="K137" s="68" t="str">
        <f>'Carnet 1a.Fase'!F46</f>
        <v>ANTONIO</v>
      </c>
    </row>
    <row r="138" spans="1:11" ht="15" customHeight="1">
      <c r="A138" s="81"/>
      <c r="B138" s="82"/>
      <c r="D138" s="81"/>
      <c r="E138" s="82"/>
      <c r="G138" s="81"/>
      <c r="H138" s="82"/>
      <c r="I138" s="64"/>
      <c r="J138" s="81"/>
      <c r="K138" s="82"/>
    </row>
    <row r="139" spans="1:11" ht="15" customHeight="1">
      <c r="A139" s="83"/>
      <c r="B139" s="84"/>
      <c r="D139" s="83"/>
      <c r="E139" s="84"/>
      <c r="G139" s="83"/>
      <c r="H139" s="84"/>
      <c r="I139" s="64"/>
      <c r="J139" s="83"/>
      <c r="K139" s="84"/>
    </row>
    <row r="140" spans="1:11" ht="15" customHeight="1" thickBot="1">
      <c r="A140" s="85"/>
      <c r="B140" s="86"/>
      <c r="D140" s="85"/>
      <c r="E140" s="86"/>
      <c r="G140" s="85"/>
      <c r="H140" s="86"/>
      <c r="I140" s="64"/>
      <c r="J140" s="85"/>
      <c r="K140" s="86"/>
    </row>
    <row r="142" ht="15" customHeight="1" thickBot="1"/>
    <row r="143" spans="1:11" ht="15" customHeight="1" thickBot="1">
      <c r="A143" s="65" t="s">
        <v>214</v>
      </c>
      <c r="B143" s="78" t="s">
        <v>191</v>
      </c>
      <c r="C143" s="79"/>
      <c r="D143" s="80"/>
      <c r="E143" s="66" t="str">
        <f>'Carnet 1a.Fase'!G47</f>
        <v>JOSÉ</v>
      </c>
      <c r="F143" s="67"/>
      <c r="G143" s="65" t="s">
        <v>199</v>
      </c>
      <c r="H143" s="78" t="s">
        <v>191</v>
      </c>
      <c r="I143" s="79"/>
      <c r="J143" s="80"/>
      <c r="K143" s="66" t="str">
        <f>'Carnet 1a.Fase'!G48</f>
        <v>SANDRO</v>
      </c>
    </row>
    <row r="144" spans="1:11" ht="15" customHeight="1" thickBot="1">
      <c r="A144" s="68" t="str">
        <f>'Carnet 1a.Fase'!C47</f>
        <v>PAIM</v>
      </c>
      <c r="B144" s="69"/>
      <c r="C144" s="70" t="s">
        <v>193</v>
      </c>
      <c r="D144" s="69"/>
      <c r="E144" s="68" t="str">
        <f>'Carnet 1a.Fase'!F47</f>
        <v>LUCIANO</v>
      </c>
      <c r="G144" s="68" t="str">
        <f>'Carnet 1a.Fase'!C48</f>
        <v>JULIO</v>
      </c>
      <c r="H144" s="69"/>
      <c r="I144" s="70" t="s">
        <v>193</v>
      </c>
      <c r="J144" s="69"/>
      <c r="K144" s="68" t="str">
        <f>'Carnet 1a.Fase'!F48</f>
        <v>EMERSON</v>
      </c>
    </row>
    <row r="145" spans="1:11" ht="15" customHeight="1">
      <c r="A145" s="81"/>
      <c r="B145" s="82"/>
      <c r="D145" s="81"/>
      <c r="E145" s="82"/>
      <c r="G145" s="81"/>
      <c r="H145" s="82"/>
      <c r="I145" s="64"/>
      <c r="J145" s="81"/>
      <c r="K145" s="82"/>
    </row>
    <row r="146" spans="1:11" ht="15" customHeight="1">
      <c r="A146" s="83"/>
      <c r="B146" s="84"/>
      <c r="D146" s="83"/>
      <c r="E146" s="84"/>
      <c r="G146" s="83"/>
      <c r="H146" s="84"/>
      <c r="I146" s="64"/>
      <c r="J146" s="83"/>
      <c r="K146" s="84"/>
    </row>
    <row r="147" spans="1:11" ht="15" customHeight="1" thickBot="1">
      <c r="A147" s="85"/>
      <c r="B147" s="86"/>
      <c r="D147" s="85"/>
      <c r="E147" s="86"/>
      <c r="G147" s="85"/>
      <c r="H147" s="86"/>
      <c r="I147" s="64"/>
      <c r="J147" s="85"/>
      <c r="K147" s="86"/>
    </row>
    <row r="151" ht="15" customHeight="1" thickBot="1"/>
    <row r="152" spans="1:11" ht="15" customHeight="1" thickBot="1">
      <c r="A152" s="65" t="s">
        <v>200</v>
      </c>
      <c r="B152" s="78" t="s">
        <v>191</v>
      </c>
      <c r="C152" s="79"/>
      <c r="D152" s="80"/>
      <c r="E152" s="66" t="str">
        <f>'Carnet 1a.Fase'!G49</f>
        <v>THIAGO SCH.</v>
      </c>
      <c r="F152" s="67"/>
      <c r="G152" s="65" t="s">
        <v>201</v>
      </c>
      <c r="H152" s="78" t="s">
        <v>191</v>
      </c>
      <c r="I152" s="79"/>
      <c r="J152" s="80"/>
      <c r="K152" s="66" t="str">
        <f>'Carnet 1a.Fase'!G50</f>
        <v>MATEUS</v>
      </c>
    </row>
    <row r="153" spans="1:11" ht="15" customHeight="1" thickBot="1">
      <c r="A153" s="68" t="str">
        <f>'Carnet 1a.Fase'!C49</f>
        <v>DIOGO MALLET</v>
      </c>
      <c r="B153" s="69"/>
      <c r="C153" s="70" t="s">
        <v>193</v>
      </c>
      <c r="D153" s="69"/>
      <c r="E153" s="68" t="str">
        <f>'Carnet 1a.Fase'!F49</f>
        <v>MARCOS JUNQ.</v>
      </c>
      <c r="G153" s="68" t="str">
        <f>'Carnet 1a.Fase'!C50</f>
        <v>UMBERTO</v>
      </c>
      <c r="H153" s="69"/>
      <c r="I153" s="70" t="s">
        <v>193</v>
      </c>
      <c r="J153" s="69"/>
      <c r="K153" s="68" t="str">
        <f>'Carnet 1a.Fase'!F50</f>
        <v>MICHEL</v>
      </c>
    </row>
    <row r="154" spans="1:11" ht="15" customHeight="1">
      <c r="A154" s="81"/>
      <c r="B154" s="82"/>
      <c r="D154" s="81"/>
      <c r="E154" s="82"/>
      <c r="G154" s="81"/>
      <c r="H154" s="82"/>
      <c r="I154" s="64"/>
      <c r="J154" s="81"/>
      <c r="K154" s="82"/>
    </row>
    <row r="155" spans="1:11" ht="15" customHeight="1">
      <c r="A155" s="83"/>
      <c r="B155" s="84"/>
      <c r="D155" s="83"/>
      <c r="E155" s="84"/>
      <c r="G155" s="83"/>
      <c r="H155" s="84"/>
      <c r="I155" s="64"/>
      <c r="J155" s="83"/>
      <c r="K155" s="84"/>
    </row>
    <row r="156" spans="1:11" ht="15" customHeight="1" thickBot="1">
      <c r="A156" s="85"/>
      <c r="B156" s="86"/>
      <c r="D156" s="85"/>
      <c r="E156" s="86"/>
      <c r="G156" s="85"/>
      <c r="H156" s="86"/>
      <c r="I156" s="64"/>
      <c r="J156" s="85"/>
      <c r="K156" s="86"/>
    </row>
    <row r="158" ht="15" customHeight="1" thickBot="1"/>
    <row r="159" spans="1:11" ht="15" customHeight="1" thickBot="1">
      <c r="A159" s="65" t="s">
        <v>202</v>
      </c>
      <c r="B159" s="78" t="s">
        <v>191</v>
      </c>
      <c r="C159" s="79"/>
      <c r="D159" s="80"/>
      <c r="E159" s="66" t="str">
        <f>'Carnet 1a.Fase'!G51</f>
        <v>ELISANDRO</v>
      </c>
      <c r="F159" s="67"/>
      <c r="G159" s="65" t="s">
        <v>203</v>
      </c>
      <c r="H159" s="78" t="s">
        <v>191</v>
      </c>
      <c r="I159" s="79"/>
      <c r="J159" s="80"/>
      <c r="K159" s="66" t="str">
        <f>'Carnet 1a.Fase'!G52</f>
        <v>RUI</v>
      </c>
    </row>
    <row r="160" spans="1:11" ht="15" customHeight="1" thickBot="1">
      <c r="A160" s="68" t="str">
        <f>'Carnet 1a.Fase'!C51</f>
        <v>SILVIO</v>
      </c>
      <c r="B160" s="69"/>
      <c r="C160" s="70" t="s">
        <v>193</v>
      </c>
      <c r="D160" s="69"/>
      <c r="E160" s="68" t="str">
        <f>'Carnet 1a.Fase'!F51</f>
        <v>FERNANDO</v>
      </c>
      <c r="G160" s="68" t="str">
        <f>'Carnet 1a.Fase'!C52</f>
        <v>NILMAR</v>
      </c>
      <c r="H160" s="69"/>
      <c r="I160" s="70" t="s">
        <v>193</v>
      </c>
      <c r="J160" s="69"/>
      <c r="K160" s="68" t="str">
        <f>'Carnet 1a.Fase'!F52</f>
        <v>AUGUSTO</v>
      </c>
    </row>
    <row r="161" spans="1:11" ht="15" customHeight="1">
      <c r="A161" s="81"/>
      <c r="B161" s="82"/>
      <c r="D161" s="81"/>
      <c r="E161" s="82"/>
      <c r="G161" s="81"/>
      <c r="H161" s="82"/>
      <c r="I161" s="64"/>
      <c r="J161" s="81"/>
      <c r="K161" s="82"/>
    </row>
    <row r="162" spans="1:11" ht="15" customHeight="1">
      <c r="A162" s="83"/>
      <c r="B162" s="84"/>
      <c r="D162" s="83"/>
      <c r="E162" s="84"/>
      <c r="G162" s="83"/>
      <c r="H162" s="84"/>
      <c r="I162" s="64"/>
      <c r="J162" s="83"/>
      <c r="K162" s="84"/>
    </row>
    <row r="163" spans="1:11" ht="15" customHeight="1" thickBot="1">
      <c r="A163" s="85"/>
      <c r="B163" s="86"/>
      <c r="D163" s="85"/>
      <c r="E163" s="86"/>
      <c r="G163" s="85"/>
      <c r="H163" s="86"/>
      <c r="I163" s="64"/>
      <c r="J163" s="85"/>
      <c r="K163" s="86"/>
    </row>
    <row r="165" ht="15" customHeight="1" thickBot="1"/>
    <row r="166" spans="1:11" ht="15" customHeight="1" thickBot="1">
      <c r="A166" s="65" t="s">
        <v>204</v>
      </c>
      <c r="B166" s="78" t="s">
        <v>191</v>
      </c>
      <c r="C166" s="79"/>
      <c r="D166" s="80"/>
      <c r="E166" s="66" t="str">
        <f>'Carnet 1a.Fase'!G53</f>
        <v>ROGÉRIO HAR.</v>
      </c>
      <c r="F166" s="67"/>
      <c r="G166" s="65" t="s">
        <v>222</v>
      </c>
      <c r="H166" s="78" t="s">
        <v>191</v>
      </c>
      <c r="I166" s="79"/>
      <c r="J166" s="80"/>
      <c r="K166" s="66" t="str">
        <f>'Carnet 1a.Fase'!G54</f>
        <v>ALESSANDRO</v>
      </c>
    </row>
    <row r="167" spans="1:11" ht="15" customHeight="1" thickBot="1">
      <c r="A167" s="68" t="str">
        <f>'Carnet 1a.Fase'!C53</f>
        <v>MARCOS ANT.</v>
      </c>
      <c r="B167" s="69"/>
      <c r="C167" s="70" t="s">
        <v>193</v>
      </c>
      <c r="D167" s="69"/>
      <c r="E167" s="68" t="str">
        <f>'Carnet 1a.Fase'!F53</f>
        <v>MARQUINHO</v>
      </c>
      <c r="G167" s="68" t="str">
        <f>'Carnet 1a.Fase'!C54</f>
        <v>SERGIO</v>
      </c>
      <c r="H167" s="69"/>
      <c r="I167" s="70" t="s">
        <v>193</v>
      </c>
      <c r="J167" s="69"/>
      <c r="K167" s="68" t="str">
        <f>'Carnet 1a.Fase'!F54</f>
        <v>SINVAL</v>
      </c>
    </row>
    <row r="168" spans="1:11" ht="15" customHeight="1">
      <c r="A168" s="81"/>
      <c r="B168" s="82"/>
      <c r="D168" s="81"/>
      <c r="E168" s="82"/>
      <c r="G168" s="81"/>
      <c r="H168" s="82"/>
      <c r="I168" s="64"/>
      <c r="J168" s="81"/>
      <c r="K168" s="82"/>
    </row>
    <row r="169" spans="1:11" ht="15" customHeight="1">
      <c r="A169" s="83"/>
      <c r="B169" s="84"/>
      <c r="D169" s="83"/>
      <c r="E169" s="84"/>
      <c r="G169" s="83"/>
      <c r="H169" s="84"/>
      <c r="I169" s="64"/>
      <c r="J169" s="83"/>
      <c r="K169" s="84"/>
    </row>
    <row r="170" spans="1:11" ht="15" customHeight="1" thickBot="1">
      <c r="A170" s="85"/>
      <c r="B170" s="86"/>
      <c r="D170" s="85"/>
      <c r="E170" s="86"/>
      <c r="G170" s="85"/>
      <c r="H170" s="86"/>
      <c r="I170" s="64"/>
      <c r="J170" s="85"/>
      <c r="K170" s="86"/>
    </row>
    <row r="172" ht="15" customHeight="1" thickBot="1"/>
    <row r="173" spans="1:11" ht="15" customHeight="1" thickBot="1">
      <c r="A173" s="65" t="s">
        <v>206</v>
      </c>
      <c r="B173" s="78" t="s">
        <v>191</v>
      </c>
      <c r="C173" s="79"/>
      <c r="D173" s="80"/>
      <c r="E173" s="66" t="str">
        <f>'Carnet 1a.Fase'!G55</f>
        <v>LEANDRINHO</v>
      </c>
      <c r="F173" s="67"/>
      <c r="G173" s="65" t="s">
        <v>217</v>
      </c>
      <c r="H173" s="78" t="s">
        <v>191</v>
      </c>
      <c r="I173" s="79"/>
      <c r="J173" s="80"/>
      <c r="K173" s="66" t="str">
        <f>'Carnet 1a.Fase'!G56</f>
        <v>VICTOR</v>
      </c>
    </row>
    <row r="174" spans="1:11" ht="15" customHeight="1" thickBot="1">
      <c r="A174" s="68" t="str">
        <f>'Carnet 1a.Fase'!C55</f>
        <v>ALEX</v>
      </c>
      <c r="B174" s="69"/>
      <c r="C174" s="70" t="s">
        <v>193</v>
      </c>
      <c r="D174" s="69"/>
      <c r="E174" s="68" t="str">
        <f>'Carnet 1a.Fase'!F55</f>
        <v>ITALO</v>
      </c>
      <c r="G174" s="68" t="str">
        <f>'Carnet 1a.Fase'!C56</f>
        <v>MALLET</v>
      </c>
      <c r="H174" s="69"/>
      <c r="I174" s="70" t="s">
        <v>193</v>
      </c>
      <c r="J174" s="69"/>
      <c r="K174" s="68" t="str">
        <f>'Carnet 1a.Fase'!F56</f>
        <v>AZAMBUJA</v>
      </c>
    </row>
    <row r="175" spans="1:11" ht="15" customHeight="1">
      <c r="A175" s="81"/>
      <c r="B175" s="82"/>
      <c r="D175" s="81"/>
      <c r="E175" s="82"/>
      <c r="G175" s="81"/>
      <c r="H175" s="82"/>
      <c r="I175" s="64"/>
      <c r="J175" s="81"/>
      <c r="K175" s="82"/>
    </row>
    <row r="176" spans="1:11" ht="15" customHeight="1">
      <c r="A176" s="83"/>
      <c r="B176" s="84"/>
      <c r="D176" s="83"/>
      <c r="E176" s="84"/>
      <c r="G176" s="83"/>
      <c r="H176" s="84"/>
      <c r="I176" s="64"/>
      <c r="J176" s="83"/>
      <c r="K176" s="84"/>
    </row>
    <row r="177" spans="1:11" ht="15" customHeight="1" thickBot="1">
      <c r="A177" s="85"/>
      <c r="B177" s="86"/>
      <c r="D177" s="85"/>
      <c r="E177" s="86"/>
      <c r="G177" s="85"/>
      <c r="H177" s="86"/>
      <c r="I177" s="64"/>
      <c r="J177" s="85"/>
      <c r="K177" s="86"/>
    </row>
    <row r="181" ht="15" customHeight="1" thickBot="1"/>
    <row r="182" spans="1:11" ht="15" customHeight="1" thickBot="1">
      <c r="A182" s="65" t="s">
        <v>208</v>
      </c>
      <c r="B182" s="78" t="s">
        <v>191</v>
      </c>
      <c r="C182" s="79"/>
      <c r="D182" s="80"/>
      <c r="E182" s="66" t="str">
        <f>'Carnet 1a.Fase'!G58</f>
        <v>MARCOS JUNQ.</v>
      </c>
      <c r="F182" s="67"/>
      <c r="G182" s="65" t="s">
        <v>209</v>
      </c>
      <c r="H182" s="78" t="s">
        <v>191</v>
      </c>
      <c r="I182" s="79"/>
      <c r="J182" s="80"/>
      <c r="K182" s="66" t="str">
        <f>'Carnet 1a.Fase'!G59</f>
        <v>MICHEL</v>
      </c>
    </row>
    <row r="183" spans="1:11" ht="15" customHeight="1" thickBot="1">
      <c r="A183" s="68" t="str">
        <f>'Carnet 1a.Fase'!C58</f>
        <v>JONI</v>
      </c>
      <c r="B183" s="69"/>
      <c r="C183" s="70" t="s">
        <v>193</v>
      </c>
      <c r="D183" s="69"/>
      <c r="E183" s="68" t="str">
        <f>'Carnet 1a.Fase'!F58</f>
        <v>JULINHO</v>
      </c>
      <c r="G183" s="68" t="str">
        <f>'Carnet 1a.Fase'!C59</f>
        <v>OCHOINHA</v>
      </c>
      <c r="H183" s="69"/>
      <c r="I183" s="70" t="s">
        <v>193</v>
      </c>
      <c r="J183" s="69"/>
      <c r="K183" s="68" t="str">
        <f>'Carnet 1a.Fase'!F59</f>
        <v>DANI</v>
      </c>
    </row>
    <row r="184" spans="1:11" ht="15" customHeight="1">
      <c r="A184" s="81"/>
      <c r="B184" s="82"/>
      <c r="D184" s="81"/>
      <c r="E184" s="82"/>
      <c r="G184" s="81"/>
      <c r="H184" s="82"/>
      <c r="I184" s="64"/>
      <c r="J184" s="81"/>
      <c r="K184" s="82"/>
    </row>
    <row r="185" spans="1:11" ht="15" customHeight="1">
      <c r="A185" s="83"/>
      <c r="B185" s="84"/>
      <c r="D185" s="83"/>
      <c r="E185" s="84"/>
      <c r="G185" s="83"/>
      <c r="H185" s="84"/>
      <c r="I185" s="64"/>
      <c r="J185" s="83"/>
      <c r="K185" s="84"/>
    </row>
    <row r="186" spans="1:11" ht="15" customHeight="1" thickBot="1">
      <c r="A186" s="85"/>
      <c r="B186" s="86"/>
      <c r="D186" s="85"/>
      <c r="E186" s="86"/>
      <c r="G186" s="85"/>
      <c r="H186" s="86"/>
      <c r="I186" s="64"/>
      <c r="J186" s="85"/>
      <c r="K186" s="86"/>
    </row>
    <row r="188" ht="15" customHeight="1" thickBot="1"/>
    <row r="189" spans="1:11" ht="15" customHeight="1" thickBot="1">
      <c r="A189" s="65" t="s">
        <v>210</v>
      </c>
      <c r="B189" s="78" t="s">
        <v>191</v>
      </c>
      <c r="C189" s="79"/>
      <c r="D189" s="80"/>
      <c r="E189" s="66" t="str">
        <f>'Carnet 1a.Fase'!G60</f>
        <v>DIOGO MALLET</v>
      </c>
      <c r="F189" s="67"/>
      <c r="G189" s="65" t="s">
        <v>223</v>
      </c>
      <c r="H189" s="78" t="s">
        <v>191</v>
      </c>
      <c r="I189" s="79"/>
      <c r="J189" s="80"/>
      <c r="K189" s="66" t="str">
        <f>'Carnet 1a.Fase'!G61</f>
        <v>UMBERTO</v>
      </c>
    </row>
    <row r="190" spans="1:11" ht="15" customHeight="1" thickBot="1">
      <c r="A190" s="68" t="str">
        <f>'Carnet 1a.Fase'!C60</f>
        <v>FELIPE</v>
      </c>
      <c r="B190" s="69"/>
      <c r="C190" s="70" t="s">
        <v>193</v>
      </c>
      <c r="D190" s="69"/>
      <c r="E190" s="68" t="str">
        <f>'Carnet 1a.Fase'!F60</f>
        <v>KEVIN</v>
      </c>
      <c r="G190" s="68" t="str">
        <f>'Carnet 1a.Fase'!C61</f>
        <v>OSMAR</v>
      </c>
      <c r="H190" s="69"/>
      <c r="I190" s="70" t="s">
        <v>193</v>
      </c>
      <c r="J190" s="69"/>
      <c r="K190" s="68" t="str">
        <f>'Carnet 1a.Fase'!F61</f>
        <v>RENAN</v>
      </c>
    </row>
    <row r="191" spans="1:11" ht="15" customHeight="1">
      <c r="A191" s="81"/>
      <c r="B191" s="82"/>
      <c r="D191" s="81"/>
      <c r="E191" s="82"/>
      <c r="G191" s="81"/>
      <c r="H191" s="82"/>
      <c r="I191" s="64"/>
      <c r="J191" s="81"/>
      <c r="K191" s="82"/>
    </row>
    <row r="192" spans="1:11" ht="15" customHeight="1">
      <c r="A192" s="83"/>
      <c r="B192" s="84"/>
      <c r="D192" s="83"/>
      <c r="E192" s="84"/>
      <c r="G192" s="83"/>
      <c r="H192" s="84"/>
      <c r="I192" s="64"/>
      <c r="J192" s="83"/>
      <c r="K192" s="84"/>
    </row>
    <row r="193" spans="1:11" ht="15" customHeight="1" thickBot="1">
      <c r="A193" s="85"/>
      <c r="B193" s="86"/>
      <c r="D193" s="85"/>
      <c r="E193" s="86"/>
      <c r="G193" s="85"/>
      <c r="H193" s="86"/>
      <c r="I193" s="64"/>
      <c r="J193" s="85"/>
      <c r="K193" s="86"/>
    </row>
    <row r="195" ht="15" customHeight="1" thickBot="1"/>
    <row r="196" spans="1:11" ht="15" customHeight="1" thickBot="1">
      <c r="A196" s="65" t="s">
        <v>220</v>
      </c>
      <c r="B196" s="78" t="s">
        <v>191</v>
      </c>
      <c r="C196" s="79"/>
      <c r="D196" s="80"/>
      <c r="E196" s="66" t="str">
        <f>'Carnet 1a.Fase'!G62</f>
        <v>FERNANDO</v>
      </c>
      <c r="F196" s="67"/>
      <c r="G196" s="65" t="s">
        <v>224</v>
      </c>
      <c r="H196" s="78" t="s">
        <v>191</v>
      </c>
      <c r="I196" s="79"/>
      <c r="J196" s="80"/>
      <c r="K196" s="66" t="str">
        <f>'Carnet 1a.Fase'!G63</f>
        <v>AUGUSTO</v>
      </c>
    </row>
    <row r="197" spans="1:11" ht="15" customHeight="1" thickBot="1">
      <c r="A197" s="68" t="str">
        <f>'Carnet 1a.Fase'!C62</f>
        <v>PUFAL</v>
      </c>
      <c r="B197" s="69"/>
      <c r="C197" s="70" t="s">
        <v>193</v>
      </c>
      <c r="D197" s="69"/>
      <c r="E197" s="68" t="str">
        <f>'Carnet 1a.Fase'!F62</f>
        <v>JOÃO GARIMA</v>
      </c>
      <c r="G197" s="68" t="str">
        <f>'Carnet 1a.Fase'!C63</f>
        <v>ROGÉRIO FEIJÓ</v>
      </c>
      <c r="H197" s="69"/>
      <c r="I197" s="70" t="s">
        <v>193</v>
      </c>
      <c r="J197" s="69"/>
      <c r="K197" s="68" t="str">
        <f>'Carnet 1a.Fase'!F63</f>
        <v>EVERTON</v>
      </c>
    </row>
    <row r="198" spans="1:11" ht="15" customHeight="1">
      <c r="A198" s="81"/>
      <c r="B198" s="82"/>
      <c r="D198" s="81"/>
      <c r="E198" s="82"/>
      <c r="G198" s="81"/>
      <c r="H198" s="82"/>
      <c r="I198" s="64"/>
      <c r="J198" s="81"/>
      <c r="K198" s="82"/>
    </row>
    <row r="199" spans="1:11" ht="15" customHeight="1">
      <c r="A199" s="83"/>
      <c r="B199" s="84"/>
      <c r="D199" s="83"/>
      <c r="E199" s="84"/>
      <c r="G199" s="83"/>
      <c r="H199" s="84"/>
      <c r="I199" s="64"/>
      <c r="J199" s="83"/>
      <c r="K199" s="84"/>
    </row>
    <row r="200" spans="1:11" ht="15" customHeight="1" thickBot="1">
      <c r="A200" s="85"/>
      <c r="B200" s="86"/>
      <c r="D200" s="85"/>
      <c r="E200" s="86"/>
      <c r="G200" s="85"/>
      <c r="H200" s="86"/>
      <c r="I200" s="64"/>
      <c r="J200" s="85"/>
      <c r="K200" s="86"/>
    </row>
    <row r="202" ht="15" customHeight="1" thickBot="1"/>
    <row r="203" spans="1:11" ht="15" customHeight="1" thickBot="1">
      <c r="A203" s="65" t="s">
        <v>214</v>
      </c>
      <c r="B203" s="78" t="s">
        <v>191</v>
      </c>
      <c r="C203" s="79"/>
      <c r="D203" s="80"/>
      <c r="E203" s="66" t="str">
        <f>'Carnet 1a.Fase'!G64</f>
        <v>SILVIO</v>
      </c>
      <c r="F203" s="67"/>
      <c r="G203" s="65" t="s">
        <v>199</v>
      </c>
      <c r="H203" s="78" t="s">
        <v>191</v>
      </c>
      <c r="I203" s="79"/>
      <c r="J203" s="80"/>
      <c r="K203" s="66" t="str">
        <f>'Carnet 1a.Fase'!G65</f>
        <v>NILMAR</v>
      </c>
    </row>
    <row r="204" spans="1:11" ht="15" customHeight="1" thickBot="1">
      <c r="A204" s="68" t="str">
        <f>'Carnet 1a.Fase'!C64</f>
        <v>LEANDRO</v>
      </c>
      <c r="B204" s="69"/>
      <c r="C204" s="70" t="s">
        <v>193</v>
      </c>
      <c r="D204" s="69"/>
      <c r="E204" s="68" t="str">
        <f>'Carnet 1a.Fase'!F64</f>
        <v>CRISTIANO</v>
      </c>
      <c r="G204" s="68" t="str">
        <f>'Carnet 1a.Fase'!C65</f>
        <v>DUDA</v>
      </c>
      <c r="H204" s="69"/>
      <c r="I204" s="70" t="s">
        <v>193</v>
      </c>
      <c r="J204" s="69"/>
      <c r="K204" s="68" t="str">
        <f>'Carnet 1a.Fase'!F65</f>
        <v>VINHAS</v>
      </c>
    </row>
    <row r="205" spans="1:11" ht="15" customHeight="1">
      <c r="A205" s="81"/>
      <c r="B205" s="82"/>
      <c r="D205" s="81"/>
      <c r="E205" s="82"/>
      <c r="G205" s="81"/>
      <c r="H205" s="82"/>
      <c r="I205" s="64"/>
      <c r="J205" s="81"/>
      <c r="K205" s="82"/>
    </row>
    <row r="206" spans="1:11" ht="15" customHeight="1">
      <c r="A206" s="83"/>
      <c r="B206" s="84"/>
      <c r="D206" s="83"/>
      <c r="E206" s="84"/>
      <c r="G206" s="83"/>
      <c r="H206" s="84"/>
      <c r="I206" s="64"/>
      <c r="J206" s="83"/>
      <c r="K206" s="84"/>
    </row>
    <row r="207" spans="1:11" ht="15" customHeight="1" thickBot="1">
      <c r="A207" s="85"/>
      <c r="B207" s="86"/>
      <c r="D207" s="85"/>
      <c r="E207" s="86"/>
      <c r="G207" s="85"/>
      <c r="H207" s="86"/>
      <c r="I207" s="64"/>
      <c r="J207" s="85"/>
      <c r="K207" s="86"/>
    </row>
    <row r="211" ht="15" customHeight="1" thickBot="1"/>
    <row r="212" spans="1:11" ht="15" customHeight="1" thickBot="1">
      <c r="A212" s="65" t="s">
        <v>200</v>
      </c>
      <c r="B212" s="78" t="s">
        <v>191</v>
      </c>
      <c r="C212" s="79"/>
      <c r="D212" s="80"/>
      <c r="E212" s="66" t="str">
        <f>'Carnet 1a.Fase'!G66</f>
        <v>MARQUINHO</v>
      </c>
      <c r="F212" s="67"/>
      <c r="G212" s="65" t="s">
        <v>201</v>
      </c>
      <c r="H212" s="78" t="s">
        <v>191</v>
      </c>
      <c r="I212" s="79"/>
      <c r="J212" s="80"/>
      <c r="K212" s="66" t="str">
        <f>'Carnet 1a.Fase'!G67</f>
        <v>SINVAL</v>
      </c>
    </row>
    <row r="213" spans="1:11" ht="15" customHeight="1" thickBot="1">
      <c r="A213" s="68" t="str">
        <f>'Carnet 1a.Fase'!C66</f>
        <v>BRENO</v>
      </c>
      <c r="B213" s="69"/>
      <c r="C213" s="70" t="s">
        <v>193</v>
      </c>
      <c r="D213" s="69"/>
      <c r="E213" s="68" t="str">
        <f>'Carnet 1a.Fase'!F66</f>
        <v>JORGITO</v>
      </c>
      <c r="G213" s="68" t="str">
        <f>'Carnet 1a.Fase'!C67</f>
        <v>VINÍCIUS</v>
      </c>
      <c r="H213" s="69"/>
      <c r="I213" s="70" t="s">
        <v>193</v>
      </c>
      <c r="J213" s="69"/>
      <c r="K213" s="68" t="str">
        <f>'Carnet 1a.Fase'!F67</f>
        <v>EDISON</v>
      </c>
    </row>
    <row r="214" spans="1:11" ht="15" customHeight="1">
      <c r="A214" s="81"/>
      <c r="B214" s="82"/>
      <c r="D214" s="81"/>
      <c r="E214" s="82"/>
      <c r="G214" s="81"/>
      <c r="H214" s="82"/>
      <c r="I214" s="64"/>
      <c r="J214" s="81"/>
      <c r="K214" s="82"/>
    </row>
    <row r="215" spans="1:11" ht="15" customHeight="1">
      <c r="A215" s="83"/>
      <c r="B215" s="84"/>
      <c r="D215" s="83"/>
      <c r="E215" s="84"/>
      <c r="G215" s="83"/>
      <c r="H215" s="84"/>
      <c r="I215" s="64"/>
      <c r="J215" s="83"/>
      <c r="K215" s="84"/>
    </row>
    <row r="216" spans="1:11" ht="15" customHeight="1" thickBot="1">
      <c r="A216" s="85"/>
      <c r="B216" s="86"/>
      <c r="D216" s="85"/>
      <c r="E216" s="86"/>
      <c r="G216" s="85"/>
      <c r="H216" s="86"/>
      <c r="I216" s="64"/>
      <c r="J216" s="85"/>
      <c r="K216" s="86"/>
    </row>
    <row r="218" ht="15" customHeight="1" thickBot="1"/>
    <row r="219" spans="1:11" ht="15" customHeight="1" thickBot="1">
      <c r="A219" s="65" t="s">
        <v>202</v>
      </c>
      <c r="B219" s="78" t="s">
        <v>191</v>
      </c>
      <c r="C219" s="79"/>
      <c r="D219" s="80"/>
      <c r="E219" s="66" t="str">
        <f>'Carnet 1a.Fase'!G68</f>
        <v>MARCOS ANT.</v>
      </c>
      <c r="F219" s="67"/>
      <c r="G219" s="65" t="s">
        <v>203</v>
      </c>
      <c r="H219" s="78" t="s">
        <v>191</v>
      </c>
      <c r="I219" s="79"/>
      <c r="J219" s="80"/>
      <c r="K219" s="66" t="str">
        <f>'Carnet 1a.Fase'!G69</f>
        <v>SERGIO</v>
      </c>
    </row>
    <row r="220" spans="1:11" ht="15" customHeight="1" thickBot="1">
      <c r="A220" s="68" t="str">
        <f>'Carnet 1a.Fase'!C68</f>
        <v>JOSÉ</v>
      </c>
      <c r="B220" s="69"/>
      <c r="C220" s="70" t="s">
        <v>193</v>
      </c>
      <c r="D220" s="69"/>
      <c r="E220" s="68" t="str">
        <f>'Carnet 1a.Fase'!F68</f>
        <v>TERROZO</v>
      </c>
      <c r="G220" s="68" t="str">
        <f>'Carnet 1a.Fase'!C69</f>
        <v>SANDRO</v>
      </c>
      <c r="H220" s="69"/>
      <c r="I220" s="70" t="s">
        <v>193</v>
      </c>
      <c r="J220" s="69"/>
      <c r="K220" s="68" t="str">
        <f>'Carnet 1a.Fase'!F69</f>
        <v>BRANDÃO</v>
      </c>
    </row>
    <row r="221" spans="1:11" ht="15" customHeight="1">
      <c r="A221" s="81"/>
      <c r="B221" s="82"/>
      <c r="D221" s="81"/>
      <c r="E221" s="82"/>
      <c r="G221" s="81"/>
      <c r="H221" s="82"/>
      <c r="I221" s="64"/>
      <c r="J221" s="81"/>
      <c r="K221" s="82"/>
    </row>
    <row r="222" spans="1:11" ht="15" customHeight="1">
      <c r="A222" s="83"/>
      <c r="B222" s="84"/>
      <c r="D222" s="83"/>
      <c r="E222" s="84"/>
      <c r="G222" s="83"/>
      <c r="H222" s="84"/>
      <c r="I222" s="64"/>
      <c r="J222" s="83"/>
      <c r="K222" s="84"/>
    </row>
    <row r="223" spans="1:11" ht="15" customHeight="1" thickBot="1">
      <c r="A223" s="85"/>
      <c r="B223" s="86"/>
      <c r="D223" s="85"/>
      <c r="E223" s="86"/>
      <c r="G223" s="85"/>
      <c r="H223" s="86"/>
      <c r="I223" s="64"/>
      <c r="J223" s="85"/>
      <c r="K223" s="86"/>
    </row>
    <row r="225" ht="15" customHeight="1" thickBot="1"/>
    <row r="226" spans="1:11" ht="15" customHeight="1" thickBot="1">
      <c r="A226" s="65" t="s">
        <v>204</v>
      </c>
      <c r="B226" s="78" t="s">
        <v>191</v>
      </c>
      <c r="C226" s="79"/>
      <c r="D226" s="80"/>
      <c r="E226" s="66" t="str">
        <f>'Carnet 1a.Fase'!G70</f>
        <v>ITALO</v>
      </c>
      <c r="F226" s="67"/>
      <c r="G226" s="65" t="s">
        <v>222</v>
      </c>
      <c r="H226" s="78" t="s">
        <v>191</v>
      </c>
      <c r="I226" s="79"/>
      <c r="J226" s="80"/>
      <c r="K226" s="66" t="str">
        <f>'Carnet 1a.Fase'!G71</f>
        <v>AZAMBUJA</v>
      </c>
    </row>
    <row r="227" spans="1:11" ht="15" customHeight="1" thickBot="1">
      <c r="A227" s="68" t="str">
        <f>'Carnet 1a.Fase'!C70</f>
        <v>ELISANDRO</v>
      </c>
      <c r="B227" s="69"/>
      <c r="C227" s="70" t="s">
        <v>193</v>
      </c>
      <c r="D227" s="69"/>
      <c r="E227" s="68" t="str">
        <f>'Carnet 1a.Fase'!F70</f>
        <v>THIAGO SCH.</v>
      </c>
      <c r="G227" s="68" t="str">
        <f>'Carnet 1a.Fase'!C71</f>
        <v>RUI</v>
      </c>
      <c r="H227" s="69"/>
      <c r="I227" s="70" t="s">
        <v>193</v>
      </c>
      <c r="J227" s="69"/>
      <c r="K227" s="68" t="str">
        <f>'Carnet 1a.Fase'!F71</f>
        <v>MATEUS</v>
      </c>
    </row>
    <row r="228" spans="1:11" ht="15" customHeight="1">
      <c r="A228" s="81"/>
      <c r="B228" s="82"/>
      <c r="D228" s="81"/>
      <c r="E228" s="82"/>
      <c r="G228" s="81"/>
      <c r="H228" s="82"/>
      <c r="I228" s="64"/>
      <c r="J228" s="81"/>
      <c r="K228" s="82"/>
    </row>
    <row r="229" spans="1:11" ht="15" customHeight="1">
      <c r="A229" s="83"/>
      <c r="B229" s="84"/>
      <c r="D229" s="83"/>
      <c r="E229" s="84"/>
      <c r="G229" s="83"/>
      <c r="H229" s="84"/>
      <c r="I229" s="64"/>
      <c r="J229" s="83"/>
      <c r="K229" s="84"/>
    </row>
    <row r="230" spans="1:11" ht="15" customHeight="1" thickBot="1">
      <c r="A230" s="85"/>
      <c r="B230" s="86"/>
      <c r="D230" s="85"/>
      <c r="E230" s="86"/>
      <c r="G230" s="85"/>
      <c r="H230" s="86"/>
      <c r="I230" s="64"/>
      <c r="J230" s="85"/>
      <c r="K230" s="86"/>
    </row>
    <row r="232" ht="15" customHeight="1" thickBot="1"/>
    <row r="233" spans="1:11" ht="15" customHeight="1" thickBot="1">
      <c r="A233" s="65" t="s">
        <v>225</v>
      </c>
      <c r="B233" s="78" t="s">
        <v>191</v>
      </c>
      <c r="C233" s="79"/>
      <c r="D233" s="80"/>
      <c r="E233" s="66" t="str">
        <f>'Carnet 1a.Fase'!G72</f>
        <v>ALEX</v>
      </c>
      <c r="F233" s="67"/>
      <c r="G233" s="65" t="s">
        <v>217</v>
      </c>
      <c r="H233" s="78" t="s">
        <v>191</v>
      </c>
      <c r="I233" s="79"/>
      <c r="J233" s="80"/>
      <c r="K233" s="66" t="str">
        <f>'Carnet 1a.Fase'!G73</f>
        <v>MALLET</v>
      </c>
    </row>
    <row r="234" spans="1:11" ht="15" customHeight="1" thickBot="1">
      <c r="A234" s="68" t="str">
        <f>'Carnet 1a.Fase'!C72</f>
        <v>LEANDRINHO</v>
      </c>
      <c r="B234" s="69"/>
      <c r="C234" s="70" t="s">
        <v>193</v>
      </c>
      <c r="D234" s="69"/>
      <c r="E234" s="68" t="str">
        <f>'Carnet 1a.Fase'!F72</f>
        <v>ROGÉRIO HAR.</v>
      </c>
      <c r="G234" s="68" t="str">
        <f>'Carnet 1a.Fase'!C73</f>
        <v>VICTOR</v>
      </c>
      <c r="H234" s="69"/>
      <c r="I234" s="70" t="s">
        <v>193</v>
      </c>
      <c r="J234" s="69"/>
      <c r="K234" s="68" t="str">
        <f>'Carnet 1a.Fase'!F73</f>
        <v>ALESSANDRO</v>
      </c>
    </row>
    <row r="235" spans="1:11" ht="15" customHeight="1">
      <c r="A235" s="81"/>
      <c r="B235" s="82"/>
      <c r="D235" s="81"/>
      <c r="E235" s="82"/>
      <c r="G235" s="81"/>
      <c r="H235" s="82"/>
      <c r="I235" s="64"/>
      <c r="J235" s="81"/>
      <c r="K235" s="82"/>
    </row>
    <row r="236" spans="1:11" ht="15" customHeight="1">
      <c r="A236" s="83"/>
      <c r="B236" s="84"/>
      <c r="D236" s="83"/>
      <c r="E236" s="84"/>
      <c r="G236" s="83"/>
      <c r="H236" s="84"/>
      <c r="I236" s="64"/>
      <c r="J236" s="83"/>
      <c r="K236" s="84"/>
    </row>
    <row r="237" spans="1:11" ht="15" customHeight="1" thickBot="1">
      <c r="A237" s="85"/>
      <c r="B237" s="86"/>
      <c r="D237" s="85"/>
      <c r="E237" s="86"/>
      <c r="G237" s="85"/>
      <c r="H237" s="86"/>
      <c r="I237" s="64"/>
      <c r="J237" s="85"/>
      <c r="K237" s="86"/>
    </row>
    <row r="241" ht="15" customHeight="1" thickBot="1"/>
    <row r="242" spans="1:11" ht="15" customHeight="1" thickBot="1">
      <c r="A242" s="65" t="s">
        <v>208</v>
      </c>
      <c r="B242" s="78" t="s">
        <v>191</v>
      </c>
      <c r="C242" s="79"/>
      <c r="D242" s="80"/>
      <c r="E242" s="66" t="str">
        <f>'Carnet 1a.Fase'!G75</f>
        <v>JULINHO</v>
      </c>
      <c r="F242" s="67"/>
      <c r="G242" s="65" t="s">
        <v>209</v>
      </c>
      <c r="H242" s="78" t="s">
        <v>191</v>
      </c>
      <c r="I242" s="79"/>
      <c r="J242" s="80"/>
      <c r="K242" s="66" t="str">
        <f>'Carnet 1a.Fase'!G76</f>
        <v>KEVIN</v>
      </c>
    </row>
    <row r="243" spans="1:11" ht="15" customHeight="1" thickBot="1">
      <c r="A243" s="68" t="str">
        <f>'Carnet 1a.Fase'!C75</f>
        <v>PAULO</v>
      </c>
      <c r="B243" s="69"/>
      <c r="C243" s="70" t="s">
        <v>193</v>
      </c>
      <c r="D243" s="69"/>
      <c r="E243" s="68" t="str">
        <f>'Carnet 1a.Fase'!F75</f>
        <v>LEÃO</v>
      </c>
      <c r="G243" s="68" t="str">
        <f>'Carnet 1a.Fase'!C76</f>
        <v>DIOGO BRAGA</v>
      </c>
      <c r="H243" s="69"/>
      <c r="I243" s="70" t="s">
        <v>193</v>
      </c>
      <c r="J243" s="69"/>
      <c r="K243" s="68" t="str">
        <f>'Carnet 1a.Fase'!F76</f>
        <v>ROBSON</v>
      </c>
    </row>
    <row r="244" spans="1:11" ht="15" customHeight="1">
      <c r="A244" s="81"/>
      <c r="B244" s="82"/>
      <c r="D244" s="81"/>
      <c r="E244" s="82"/>
      <c r="G244" s="81"/>
      <c r="H244" s="82"/>
      <c r="I244" s="64"/>
      <c r="J244" s="81"/>
      <c r="K244" s="82"/>
    </row>
    <row r="245" spans="1:11" ht="15" customHeight="1">
      <c r="A245" s="83"/>
      <c r="B245" s="84"/>
      <c r="D245" s="83"/>
      <c r="E245" s="84"/>
      <c r="G245" s="83"/>
      <c r="H245" s="84"/>
      <c r="I245" s="64"/>
      <c r="J245" s="83"/>
      <c r="K245" s="84"/>
    </row>
    <row r="246" spans="1:11" ht="15" customHeight="1" thickBot="1">
      <c r="A246" s="85"/>
      <c r="B246" s="86"/>
      <c r="D246" s="85"/>
      <c r="E246" s="86"/>
      <c r="G246" s="85"/>
      <c r="H246" s="86"/>
      <c r="I246" s="64"/>
      <c r="J246" s="85"/>
      <c r="K246" s="86"/>
    </row>
    <row r="248" ht="15" customHeight="1" thickBot="1"/>
    <row r="249" spans="1:11" ht="15" customHeight="1" thickBot="1">
      <c r="A249" s="65" t="s">
        <v>210</v>
      </c>
      <c r="B249" s="78" t="s">
        <v>191</v>
      </c>
      <c r="C249" s="79"/>
      <c r="D249" s="80"/>
      <c r="E249" s="66" t="str">
        <f>'Carnet 1a.Fase'!G77</f>
        <v>DANI</v>
      </c>
      <c r="F249" s="67"/>
      <c r="G249" s="65" t="s">
        <v>211</v>
      </c>
      <c r="H249" s="78" t="s">
        <v>191</v>
      </c>
      <c r="I249" s="79"/>
      <c r="J249" s="80"/>
      <c r="K249" s="66" t="str">
        <f>'Carnet 1a.Fase'!G78</f>
        <v>RENAN</v>
      </c>
    </row>
    <row r="250" spans="1:11" ht="15" customHeight="1" thickBot="1">
      <c r="A250" s="68" t="str">
        <f>'Carnet 1a.Fase'!C77</f>
        <v>CHRISTIAN</v>
      </c>
      <c r="B250" s="69"/>
      <c r="C250" s="70" t="s">
        <v>193</v>
      </c>
      <c r="D250" s="69"/>
      <c r="E250" s="68" t="str">
        <f>'Carnet 1a.Fase'!F77</f>
        <v>ELIAS</v>
      </c>
      <c r="G250" s="68" t="str">
        <f>'Carnet 1a.Fase'!C78</f>
        <v>ALDYR</v>
      </c>
      <c r="H250" s="69"/>
      <c r="I250" s="70" t="s">
        <v>193</v>
      </c>
      <c r="J250" s="69"/>
      <c r="K250" s="68" t="str">
        <f>'Carnet 1a.Fase'!F78</f>
        <v>BETÃO</v>
      </c>
    </row>
    <row r="251" spans="1:11" ht="15" customHeight="1">
      <c r="A251" s="81"/>
      <c r="B251" s="82"/>
      <c r="D251" s="81"/>
      <c r="E251" s="82"/>
      <c r="G251" s="81"/>
      <c r="H251" s="82"/>
      <c r="I251" s="64"/>
      <c r="J251" s="81"/>
      <c r="K251" s="82"/>
    </row>
    <row r="252" spans="1:11" ht="15" customHeight="1">
      <c r="A252" s="83"/>
      <c r="B252" s="84"/>
      <c r="D252" s="83"/>
      <c r="E252" s="84"/>
      <c r="G252" s="83"/>
      <c r="H252" s="84"/>
      <c r="I252" s="64"/>
      <c r="J252" s="83"/>
      <c r="K252" s="84"/>
    </row>
    <row r="253" spans="1:11" ht="15" customHeight="1" thickBot="1">
      <c r="A253" s="85"/>
      <c r="B253" s="86"/>
      <c r="D253" s="85"/>
      <c r="E253" s="86"/>
      <c r="G253" s="85"/>
      <c r="H253" s="86"/>
      <c r="I253" s="64"/>
      <c r="J253" s="85"/>
      <c r="K253" s="86"/>
    </row>
    <row r="255" ht="15" customHeight="1" thickBot="1"/>
    <row r="256" spans="1:11" ht="15" customHeight="1" thickBot="1">
      <c r="A256" s="65" t="s">
        <v>220</v>
      </c>
      <c r="B256" s="78" t="s">
        <v>191</v>
      </c>
      <c r="C256" s="79"/>
      <c r="D256" s="80"/>
      <c r="E256" s="66" t="str">
        <f>'Carnet 1a.Fase'!G79</f>
        <v>JOÃO GARIMA</v>
      </c>
      <c r="F256" s="67"/>
      <c r="G256" s="65" t="s">
        <v>224</v>
      </c>
      <c r="H256" s="78" t="s">
        <v>191</v>
      </c>
      <c r="I256" s="79"/>
      <c r="J256" s="80"/>
      <c r="K256" s="66" t="str">
        <f>'Carnet 1a.Fase'!G80</f>
        <v>CRISTIANO</v>
      </c>
    </row>
    <row r="257" spans="1:11" ht="15" customHeight="1" thickBot="1">
      <c r="A257" s="68" t="str">
        <f>'Carnet 1a.Fase'!C79</f>
        <v>RODRIGO B.</v>
      </c>
      <c r="B257" s="69"/>
      <c r="C257" s="70" t="s">
        <v>193</v>
      </c>
      <c r="D257" s="69"/>
      <c r="E257" s="68" t="str">
        <f>'Carnet 1a.Fase'!F79</f>
        <v>ANTONIO</v>
      </c>
      <c r="G257" s="68" t="str">
        <f>'Carnet 1a.Fase'!C80</f>
        <v>ZILBER</v>
      </c>
      <c r="H257" s="69"/>
      <c r="I257" s="70" t="s">
        <v>193</v>
      </c>
      <c r="J257" s="69"/>
      <c r="K257" s="68" t="str">
        <f>'Carnet 1a.Fase'!F80</f>
        <v>CAJU</v>
      </c>
    </row>
    <row r="258" spans="1:11" ht="15" customHeight="1">
      <c r="A258" s="81"/>
      <c r="B258" s="82"/>
      <c r="D258" s="81"/>
      <c r="E258" s="82"/>
      <c r="G258" s="81"/>
      <c r="H258" s="82"/>
      <c r="I258" s="64"/>
      <c r="J258" s="81"/>
      <c r="K258" s="82"/>
    </row>
    <row r="259" spans="1:11" ht="15" customHeight="1">
      <c r="A259" s="83"/>
      <c r="B259" s="84"/>
      <c r="D259" s="83"/>
      <c r="E259" s="84"/>
      <c r="G259" s="83"/>
      <c r="H259" s="84"/>
      <c r="I259" s="64"/>
      <c r="J259" s="83"/>
      <c r="K259" s="84"/>
    </row>
    <row r="260" spans="1:11" ht="15" customHeight="1" thickBot="1">
      <c r="A260" s="85"/>
      <c r="B260" s="86"/>
      <c r="D260" s="85"/>
      <c r="E260" s="86"/>
      <c r="G260" s="85"/>
      <c r="H260" s="86"/>
      <c r="I260" s="64"/>
      <c r="J260" s="85"/>
      <c r="K260" s="86"/>
    </row>
    <row r="262" ht="15" customHeight="1" thickBot="1"/>
    <row r="263" spans="1:11" ht="15" customHeight="1" thickBot="1">
      <c r="A263" s="65" t="s">
        <v>214</v>
      </c>
      <c r="B263" s="78" t="s">
        <v>191</v>
      </c>
      <c r="C263" s="79"/>
      <c r="D263" s="80"/>
      <c r="E263" s="66" t="str">
        <f>'Carnet 1a.Fase'!G81</f>
        <v>EVERTON</v>
      </c>
      <c r="F263" s="67"/>
      <c r="G263" s="65" t="s">
        <v>199</v>
      </c>
      <c r="H263" s="78" t="s">
        <v>191</v>
      </c>
      <c r="I263" s="79"/>
      <c r="J263" s="80"/>
      <c r="K263" s="66" t="str">
        <f>'Carnet 1a.Fase'!G82</f>
        <v>VINHAS</v>
      </c>
    </row>
    <row r="264" spans="1:11" ht="15" customHeight="1" thickBot="1">
      <c r="A264" s="68" t="str">
        <f>'Carnet 1a.Fase'!C81</f>
        <v>LUCIANO</v>
      </c>
      <c r="B264" s="69"/>
      <c r="C264" s="70" t="s">
        <v>193</v>
      </c>
      <c r="D264" s="69"/>
      <c r="E264" s="68" t="str">
        <f>'Carnet 1a.Fase'!F81</f>
        <v>EMERSON</v>
      </c>
      <c r="G264" s="68" t="str">
        <f>'Carnet 1a.Fase'!C82</f>
        <v>PAIM</v>
      </c>
      <c r="H264" s="69"/>
      <c r="I264" s="70" t="s">
        <v>193</v>
      </c>
      <c r="J264" s="69"/>
      <c r="K264" s="68" t="str">
        <f>'Carnet 1a.Fase'!F82</f>
        <v>JULIO</v>
      </c>
    </row>
    <row r="265" spans="1:11" ht="15" customHeight="1">
      <c r="A265" s="81"/>
      <c r="B265" s="82"/>
      <c r="D265" s="81"/>
      <c r="E265" s="82"/>
      <c r="G265" s="81"/>
      <c r="H265" s="82"/>
      <c r="I265" s="64"/>
      <c r="J265" s="81"/>
      <c r="K265" s="82"/>
    </row>
    <row r="266" spans="1:11" ht="15" customHeight="1">
      <c r="A266" s="83"/>
      <c r="B266" s="84"/>
      <c r="D266" s="83"/>
      <c r="E266" s="84"/>
      <c r="G266" s="83"/>
      <c r="H266" s="84"/>
      <c r="I266" s="64"/>
      <c r="J266" s="83"/>
      <c r="K266" s="84"/>
    </row>
    <row r="267" spans="1:11" ht="15" customHeight="1" thickBot="1">
      <c r="A267" s="85"/>
      <c r="B267" s="86"/>
      <c r="D267" s="85"/>
      <c r="E267" s="86"/>
      <c r="G267" s="85"/>
      <c r="H267" s="86"/>
      <c r="I267" s="64"/>
      <c r="J267" s="85"/>
      <c r="K267" s="86"/>
    </row>
    <row r="271" ht="15" customHeight="1" thickBot="1"/>
    <row r="272" spans="1:11" ht="15" customHeight="1" thickBot="1">
      <c r="A272" s="65" t="s">
        <v>226</v>
      </c>
      <c r="B272" s="78" t="s">
        <v>191</v>
      </c>
      <c r="C272" s="79"/>
      <c r="D272" s="80"/>
      <c r="E272" s="66" t="str">
        <f>'Carnet 1a.Fase'!G83</f>
        <v>JORGITO</v>
      </c>
      <c r="F272" s="67"/>
      <c r="G272" s="65" t="s">
        <v>201</v>
      </c>
      <c r="H272" s="78" t="s">
        <v>191</v>
      </c>
      <c r="I272" s="79"/>
      <c r="J272" s="80"/>
      <c r="K272" s="66" t="str">
        <f>'Carnet 1a.Fase'!G84</f>
        <v>TERROZO</v>
      </c>
    </row>
    <row r="273" spans="1:11" ht="15" customHeight="1" thickBot="1">
      <c r="A273" s="68" t="str">
        <f>'Carnet 1a.Fase'!C83</f>
        <v>MARCOS JUNQ.</v>
      </c>
      <c r="B273" s="69"/>
      <c r="C273" s="70" t="s">
        <v>193</v>
      </c>
      <c r="D273" s="69"/>
      <c r="E273" s="68" t="str">
        <f>'Carnet 1a.Fase'!F83</f>
        <v>MICHEL</v>
      </c>
      <c r="G273" s="68" t="str">
        <f>'Carnet 1a.Fase'!C84</f>
        <v>DIOGO MALLET</v>
      </c>
      <c r="H273" s="69"/>
      <c r="I273" s="70" t="s">
        <v>193</v>
      </c>
      <c r="J273" s="69"/>
      <c r="K273" s="68" t="str">
        <f>'Carnet 1a.Fase'!F84</f>
        <v>UMBERTO</v>
      </c>
    </row>
    <row r="274" spans="1:11" ht="15" customHeight="1">
      <c r="A274" s="81"/>
      <c r="B274" s="82"/>
      <c r="D274" s="81"/>
      <c r="E274" s="82"/>
      <c r="G274" s="81"/>
      <c r="H274" s="82"/>
      <c r="I274" s="64"/>
      <c r="J274" s="81"/>
      <c r="K274" s="82"/>
    </row>
    <row r="275" spans="1:11" ht="15" customHeight="1">
      <c r="A275" s="83"/>
      <c r="B275" s="84"/>
      <c r="D275" s="83"/>
      <c r="E275" s="84"/>
      <c r="G275" s="83"/>
      <c r="H275" s="84"/>
      <c r="I275" s="64"/>
      <c r="J275" s="83"/>
      <c r="K275" s="84"/>
    </row>
    <row r="276" spans="1:11" ht="15" customHeight="1" thickBot="1">
      <c r="A276" s="85"/>
      <c r="B276" s="86"/>
      <c r="D276" s="85"/>
      <c r="E276" s="86"/>
      <c r="G276" s="85"/>
      <c r="H276" s="86"/>
      <c r="I276" s="64"/>
      <c r="J276" s="85"/>
      <c r="K276" s="86"/>
    </row>
    <row r="278" ht="15" customHeight="1" thickBot="1"/>
    <row r="279" spans="1:11" ht="15" customHeight="1" thickBot="1">
      <c r="A279" s="65" t="s">
        <v>202</v>
      </c>
      <c r="B279" s="78" t="s">
        <v>191</v>
      </c>
      <c r="C279" s="79"/>
      <c r="D279" s="80"/>
      <c r="E279" s="66" t="str">
        <f>'Carnet 1a.Fase'!G85</f>
        <v>EDISON</v>
      </c>
      <c r="F279" s="67"/>
      <c r="G279" s="65" t="s">
        <v>203</v>
      </c>
      <c r="H279" s="78" t="s">
        <v>191</v>
      </c>
      <c r="I279" s="79"/>
      <c r="J279" s="80"/>
      <c r="K279" s="66" t="str">
        <f>'Carnet 1a.Fase'!G86</f>
        <v>BRANDÃO</v>
      </c>
    </row>
    <row r="280" spans="1:11" ht="15" customHeight="1" thickBot="1">
      <c r="A280" s="68" t="str">
        <f>'Carnet 1a.Fase'!C85</f>
        <v>FERNANDO</v>
      </c>
      <c r="B280" s="69"/>
      <c r="C280" s="70" t="s">
        <v>193</v>
      </c>
      <c r="D280" s="69"/>
      <c r="E280" s="68" t="str">
        <f>'Carnet 1a.Fase'!F85</f>
        <v>AUGUSTO</v>
      </c>
      <c r="G280" s="68" t="str">
        <f>'Carnet 1a.Fase'!C86</f>
        <v>SILVIO</v>
      </c>
      <c r="H280" s="69"/>
      <c r="I280" s="70" t="s">
        <v>193</v>
      </c>
      <c r="J280" s="69"/>
      <c r="K280" s="68" t="str">
        <f>'Carnet 1a.Fase'!F86</f>
        <v>NILMAR</v>
      </c>
    </row>
    <row r="281" spans="1:11" ht="15" customHeight="1">
      <c r="A281" s="81"/>
      <c r="B281" s="82"/>
      <c r="D281" s="81"/>
      <c r="E281" s="82"/>
      <c r="G281" s="81"/>
      <c r="H281" s="82"/>
      <c r="I281" s="64"/>
      <c r="J281" s="81"/>
      <c r="K281" s="82"/>
    </row>
    <row r="282" spans="1:11" ht="15" customHeight="1">
      <c r="A282" s="83"/>
      <c r="B282" s="84"/>
      <c r="D282" s="83"/>
      <c r="E282" s="84"/>
      <c r="G282" s="83"/>
      <c r="H282" s="84"/>
      <c r="I282" s="64"/>
      <c r="J282" s="83"/>
      <c r="K282" s="84"/>
    </row>
    <row r="283" spans="1:11" ht="15" customHeight="1" thickBot="1">
      <c r="A283" s="85"/>
      <c r="B283" s="86"/>
      <c r="D283" s="85"/>
      <c r="E283" s="86"/>
      <c r="G283" s="85"/>
      <c r="H283" s="86"/>
      <c r="I283" s="64"/>
      <c r="J283" s="85"/>
      <c r="K283" s="86"/>
    </row>
    <row r="285" ht="15" customHeight="1" thickBot="1"/>
    <row r="286" spans="1:11" ht="15" customHeight="1" thickBot="1">
      <c r="A286" s="65" t="s">
        <v>227</v>
      </c>
      <c r="B286" s="78" t="s">
        <v>191</v>
      </c>
      <c r="C286" s="79"/>
      <c r="D286" s="80"/>
      <c r="E286" s="66" t="str">
        <f>'Carnet 1a.Fase'!G87</f>
        <v>THIAGO SCH.</v>
      </c>
      <c r="F286" s="67"/>
      <c r="G286" s="65" t="s">
        <v>222</v>
      </c>
      <c r="H286" s="78" t="s">
        <v>191</v>
      </c>
      <c r="I286" s="79"/>
      <c r="J286" s="80"/>
      <c r="K286" s="66" t="str">
        <f>'Carnet 1a.Fase'!G88</f>
        <v>ROGÉRIO HAR.</v>
      </c>
    </row>
    <row r="287" spans="1:11" ht="15" customHeight="1" thickBot="1">
      <c r="A287" s="68" t="str">
        <f>'Carnet 1a.Fase'!C87</f>
        <v>MARQUINHO</v>
      </c>
      <c r="B287" s="69"/>
      <c r="C287" s="70" t="s">
        <v>193</v>
      </c>
      <c r="D287" s="69"/>
      <c r="E287" s="68" t="str">
        <f>'Carnet 1a.Fase'!F87</f>
        <v>SINVAL</v>
      </c>
      <c r="G287" s="68" t="str">
        <f>'Carnet 1a.Fase'!C88</f>
        <v>MARCOS ANT.</v>
      </c>
      <c r="H287" s="69"/>
      <c r="I287" s="70" t="s">
        <v>193</v>
      </c>
      <c r="J287" s="69"/>
      <c r="K287" s="68" t="str">
        <f>'Carnet 1a.Fase'!F88</f>
        <v>SERGIO</v>
      </c>
    </row>
    <row r="288" spans="1:11" ht="15" customHeight="1">
      <c r="A288" s="81"/>
      <c r="B288" s="82"/>
      <c r="D288" s="81"/>
      <c r="E288" s="82"/>
      <c r="G288" s="81"/>
      <c r="H288" s="82"/>
      <c r="I288" s="64"/>
      <c r="J288" s="81"/>
      <c r="K288" s="82"/>
    </row>
    <row r="289" spans="1:11" ht="15" customHeight="1">
      <c r="A289" s="83"/>
      <c r="B289" s="84"/>
      <c r="D289" s="83"/>
      <c r="E289" s="84"/>
      <c r="G289" s="83"/>
      <c r="H289" s="84"/>
      <c r="I289" s="64"/>
      <c r="J289" s="83"/>
      <c r="K289" s="84"/>
    </row>
    <row r="290" spans="1:11" ht="15" customHeight="1" thickBot="1">
      <c r="A290" s="85"/>
      <c r="B290" s="86"/>
      <c r="D290" s="85"/>
      <c r="E290" s="86"/>
      <c r="G290" s="85"/>
      <c r="H290" s="86"/>
      <c r="I290" s="64"/>
      <c r="J290" s="85"/>
      <c r="K290" s="86"/>
    </row>
    <row r="292" ht="15" customHeight="1" thickBot="1"/>
    <row r="293" spans="1:11" ht="15" customHeight="1" thickBot="1">
      <c r="A293" s="65" t="s">
        <v>206</v>
      </c>
      <c r="B293" s="78" t="s">
        <v>191</v>
      </c>
      <c r="C293" s="79"/>
      <c r="D293" s="80"/>
      <c r="E293" s="66" t="str">
        <f>'Carnet 1a.Fase'!G89</f>
        <v>MATEUS</v>
      </c>
      <c r="F293" s="67"/>
      <c r="G293" s="65" t="s">
        <v>217</v>
      </c>
      <c r="H293" s="78" t="s">
        <v>191</v>
      </c>
      <c r="I293" s="79"/>
      <c r="J293" s="80"/>
      <c r="K293" s="66" t="str">
        <f>'Carnet 1a.Fase'!G90</f>
        <v>ALESSANDRO</v>
      </c>
    </row>
    <row r="294" spans="1:11" ht="15" customHeight="1" thickBot="1">
      <c r="A294" s="68" t="str">
        <f>'Carnet 1a.Fase'!C89</f>
        <v>ITALO</v>
      </c>
      <c r="B294" s="69"/>
      <c r="C294" s="70" t="s">
        <v>193</v>
      </c>
      <c r="D294" s="69"/>
      <c r="E294" s="68" t="str">
        <f>'Carnet 1a.Fase'!F89</f>
        <v>AZAMBUJA</v>
      </c>
      <c r="G294" s="68" t="str">
        <f>'Carnet 1a.Fase'!C90</f>
        <v>ALEX</v>
      </c>
      <c r="H294" s="69"/>
      <c r="I294" s="70" t="s">
        <v>193</v>
      </c>
      <c r="J294" s="69"/>
      <c r="K294" s="68" t="str">
        <f>'Carnet 1a.Fase'!F90</f>
        <v>MALLET</v>
      </c>
    </row>
    <row r="295" spans="1:11" ht="15" customHeight="1">
      <c r="A295" s="81"/>
      <c r="B295" s="82"/>
      <c r="D295" s="81"/>
      <c r="E295" s="82"/>
      <c r="G295" s="81"/>
      <c r="H295" s="82"/>
      <c r="I295" s="64"/>
      <c r="J295" s="81"/>
      <c r="K295" s="82"/>
    </row>
    <row r="296" spans="1:11" ht="15" customHeight="1">
      <c r="A296" s="83"/>
      <c r="B296" s="84"/>
      <c r="D296" s="83"/>
      <c r="E296" s="84"/>
      <c r="G296" s="83"/>
      <c r="H296" s="84"/>
      <c r="I296" s="64"/>
      <c r="J296" s="83"/>
      <c r="K296" s="84"/>
    </row>
    <row r="297" spans="1:11" ht="15" customHeight="1" thickBot="1">
      <c r="A297" s="85"/>
      <c r="B297" s="86"/>
      <c r="D297" s="85"/>
      <c r="E297" s="86"/>
      <c r="G297" s="85"/>
      <c r="H297" s="86"/>
      <c r="I297" s="64"/>
      <c r="J297" s="85"/>
      <c r="K297" s="86"/>
    </row>
    <row r="301" ht="15" customHeight="1" thickBot="1"/>
    <row r="302" spans="1:11" ht="15" customHeight="1" thickBot="1">
      <c r="A302" s="65" t="s">
        <v>218</v>
      </c>
      <c r="B302" s="78" t="s">
        <v>191</v>
      </c>
      <c r="C302" s="79"/>
      <c r="D302" s="80"/>
      <c r="E302" s="66" t="str">
        <f>'Carnet 1a.Fase'!G92</f>
        <v>PAULO</v>
      </c>
      <c r="F302" s="67"/>
      <c r="G302" s="65" t="s">
        <v>209</v>
      </c>
      <c r="H302" s="78" t="s">
        <v>191</v>
      </c>
      <c r="I302" s="79"/>
      <c r="J302" s="80"/>
      <c r="K302" s="66" t="str">
        <f>'Carnet 1a.Fase'!G93</f>
        <v>CHRISTIAN</v>
      </c>
    </row>
    <row r="303" spans="1:11" ht="15" customHeight="1" thickBot="1">
      <c r="A303" s="68" t="str">
        <f>'Carnet 1a.Fase'!C92</f>
        <v>JULINHO</v>
      </c>
      <c r="B303" s="69"/>
      <c r="C303" s="70" t="s">
        <v>193</v>
      </c>
      <c r="D303" s="69"/>
      <c r="E303" s="68" t="str">
        <f>'Carnet 1a.Fase'!F92</f>
        <v>DANI</v>
      </c>
      <c r="G303" s="68" t="str">
        <f>'Carnet 1a.Fase'!C93</f>
        <v>JONI</v>
      </c>
      <c r="H303" s="69"/>
      <c r="I303" s="70" t="s">
        <v>193</v>
      </c>
      <c r="J303" s="69"/>
      <c r="K303" s="68" t="str">
        <f>'Carnet 1a.Fase'!F93</f>
        <v>OCHOINHA</v>
      </c>
    </row>
    <row r="304" spans="1:11" ht="15" customHeight="1">
      <c r="A304" s="81"/>
      <c r="B304" s="82"/>
      <c r="D304" s="81"/>
      <c r="E304" s="82"/>
      <c r="G304" s="81"/>
      <c r="H304" s="82"/>
      <c r="I304" s="64"/>
      <c r="J304" s="81"/>
      <c r="K304" s="82"/>
    </row>
    <row r="305" spans="1:11" ht="15" customHeight="1">
      <c r="A305" s="83"/>
      <c r="B305" s="84"/>
      <c r="D305" s="83"/>
      <c r="E305" s="84"/>
      <c r="G305" s="83"/>
      <c r="H305" s="84"/>
      <c r="I305" s="64"/>
      <c r="J305" s="83"/>
      <c r="K305" s="84"/>
    </row>
    <row r="306" spans="1:11" ht="15" customHeight="1" thickBot="1">
      <c r="A306" s="85"/>
      <c r="B306" s="86"/>
      <c r="D306" s="85"/>
      <c r="E306" s="86"/>
      <c r="G306" s="85"/>
      <c r="H306" s="86"/>
      <c r="I306" s="64"/>
      <c r="J306" s="85"/>
      <c r="K306" s="86"/>
    </row>
    <row r="308" ht="15" customHeight="1" thickBot="1"/>
    <row r="309" spans="1:11" ht="15" customHeight="1" thickBot="1">
      <c r="A309" s="65" t="s">
        <v>210</v>
      </c>
      <c r="B309" s="78" t="s">
        <v>191</v>
      </c>
      <c r="C309" s="79"/>
      <c r="D309" s="80"/>
      <c r="E309" s="66" t="str">
        <f>'Carnet 1a.Fase'!G94</f>
        <v>LEÃO</v>
      </c>
      <c r="F309" s="67"/>
      <c r="G309" s="65" t="s">
        <v>223</v>
      </c>
      <c r="H309" s="78" t="s">
        <v>191</v>
      </c>
      <c r="I309" s="79"/>
      <c r="J309" s="80"/>
      <c r="K309" s="66" t="str">
        <f>'Carnet 1a.Fase'!G95</f>
        <v>ELIAS</v>
      </c>
    </row>
    <row r="310" spans="1:11" ht="15" customHeight="1" thickBot="1">
      <c r="A310" s="68" t="str">
        <f>'Carnet 1a.Fase'!C94</f>
        <v>KEVIN</v>
      </c>
      <c r="B310" s="69"/>
      <c r="C310" s="70" t="s">
        <v>193</v>
      </c>
      <c r="D310" s="69"/>
      <c r="E310" s="68" t="str">
        <f>'Carnet 1a.Fase'!F94</f>
        <v>RENAN</v>
      </c>
      <c r="G310" s="68" t="str">
        <f>'Carnet 1a.Fase'!C95</f>
        <v>FELIPE</v>
      </c>
      <c r="H310" s="69"/>
      <c r="I310" s="70" t="s">
        <v>193</v>
      </c>
      <c r="J310" s="69"/>
      <c r="K310" s="68" t="str">
        <f>'Carnet 1a.Fase'!F95</f>
        <v>OSMAR</v>
      </c>
    </row>
    <row r="311" spans="1:11" ht="15" customHeight="1">
      <c r="A311" s="81"/>
      <c r="B311" s="82"/>
      <c r="D311" s="81"/>
      <c r="E311" s="82"/>
      <c r="G311" s="81"/>
      <c r="H311" s="82"/>
      <c r="I311" s="64"/>
      <c r="J311" s="81"/>
      <c r="K311" s="82"/>
    </row>
    <row r="312" spans="1:11" ht="15" customHeight="1">
      <c r="A312" s="83"/>
      <c r="B312" s="84"/>
      <c r="D312" s="83"/>
      <c r="E312" s="84"/>
      <c r="G312" s="83"/>
      <c r="H312" s="84"/>
      <c r="I312" s="64"/>
      <c r="J312" s="83"/>
      <c r="K312" s="84"/>
    </row>
    <row r="313" spans="1:11" ht="15" customHeight="1" thickBot="1">
      <c r="A313" s="85"/>
      <c r="B313" s="86"/>
      <c r="D313" s="85"/>
      <c r="E313" s="86"/>
      <c r="G313" s="85"/>
      <c r="H313" s="86"/>
      <c r="I313" s="64"/>
      <c r="J313" s="85"/>
      <c r="K313" s="86"/>
    </row>
    <row r="315" ht="15" customHeight="1" thickBot="1"/>
    <row r="316" spans="1:11" ht="15" customHeight="1" thickBot="1">
      <c r="A316" s="65" t="s">
        <v>220</v>
      </c>
      <c r="B316" s="78" t="s">
        <v>191</v>
      </c>
      <c r="C316" s="79"/>
      <c r="D316" s="80"/>
      <c r="E316" s="66" t="str">
        <f>'Carnet 1a.Fase'!G96</f>
        <v>RODRIGO B.</v>
      </c>
      <c r="F316" s="67"/>
      <c r="G316" s="65" t="s">
        <v>221</v>
      </c>
      <c r="H316" s="78" t="s">
        <v>191</v>
      </c>
      <c r="I316" s="79"/>
      <c r="J316" s="80"/>
      <c r="K316" s="66" t="str">
        <f>'Carnet 1a.Fase'!G97</f>
        <v>LUCIANO</v>
      </c>
    </row>
    <row r="317" spans="1:11" ht="15" customHeight="1" thickBot="1">
      <c r="A317" s="68" t="str">
        <f>'Carnet 1a.Fase'!C96</f>
        <v>JOÃO GARIMA</v>
      </c>
      <c r="B317" s="69"/>
      <c r="C317" s="70" t="s">
        <v>193</v>
      </c>
      <c r="D317" s="69"/>
      <c r="E317" s="68" t="str">
        <f>'Carnet 1a.Fase'!F96</f>
        <v>EVERTON</v>
      </c>
      <c r="G317" s="68" t="str">
        <f>'Carnet 1a.Fase'!C97</f>
        <v>PUFAL</v>
      </c>
      <c r="H317" s="69"/>
      <c r="I317" s="70" t="s">
        <v>193</v>
      </c>
      <c r="J317" s="69"/>
      <c r="K317" s="68" t="str">
        <f>'Carnet 1a.Fase'!F97</f>
        <v>ROGÉRIO FEIJÓ</v>
      </c>
    </row>
    <row r="318" spans="1:11" ht="15" customHeight="1">
      <c r="A318" s="81"/>
      <c r="B318" s="82"/>
      <c r="D318" s="81"/>
      <c r="E318" s="82"/>
      <c r="G318" s="81"/>
      <c r="H318" s="82"/>
      <c r="I318" s="64"/>
      <c r="J318" s="81"/>
      <c r="K318" s="82"/>
    </row>
    <row r="319" spans="1:11" ht="15" customHeight="1">
      <c r="A319" s="83"/>
      <c r="B319" s="84"/>
      <c r="D319" s="83"/>
      <c r="E319" s="84"/>
      <c r="G319" s="83"/>
      <c r="H319" s="84"/>
      <c r="I319" s="64"/>
      <c r="J319" s="83"/>
      <c r="K319" s="84"/>
    </row>
    <row r="320" spans="1:11" ht="15" customHeight="1" thickBot="1">
      <c r="A320" s="85"/>
      <c r="B320" s="86"/>
      <c r="D320" s="85"/>
      <c r="E320" s="86"/>
      <c r="G320" s="85"/>
      <c r="H320" s="86"/>
      <c r="I320" s="64"/>
      <c r="J320" s="85"/>
      <c r="K320" s="86"/>
    </row>
    <row r="322" ht="15" customHeight="1" thickBot="1"/>
    <row r="323" spans="1:11" ht="15" customHeight="1" thickBot="1">
      <c r="A323" s="65" t="s">
        <v>228</v>
      </c>
      <c r="B323" s="78" t="s">
        <v>191</v>
      </c>
      <c r="C323" s="79"/>
      <c r="D323" s="80"/>
      <c r="E323" s="66" t="str">
        <f>'Carnet 1a.Fase'!G98</f>
        <v>ANTONIO</v>
      </c>
      <c r="F323" s="67"/>
      <c r="G323" s="65" t="s">
        <v>199</v>
      </c>
      <c r="H323" s="78" t="s">
        <v>191</v>
      </c>
      <c r="I323" s="79"/>
      <c r="J323" s="80"/>
      <c r="K323" s="66" t="str">
        <f>'Carnet 1a.Fase'!G99</f>
        <v>EMERSON</v>
      </c>
    </row>
    <row r="324" spans="1:11" ht="15" customHeight="1" thickBot="1">
      <c r="A324" s="68" t="str">
        <f>'Carnet 1a.Fase'!C98</f>
        <v>CRISTIANO</v>
      </c>
      <c r="B324" s="69"/>
      <c r="C324" s="70" t="s">
        <v>193</v>
      </c>
      <c r="D324" s="69"/>
      <c r="E324" s="68" t="str">
        <f>'Carnet 1a.Fase'!F98</f>
        <v>VINHAS</v>
      </c>
      <c r="G324" s="68" t="str">
        <f>'Carnet 1a.Fase'!C99</f>
        <v>LEANDRO</v>
      </c>
      <c r="H324" s="69"/>
      <c r="I324" s="70" t="s">
        <v>193</v>
      </c>
      <c r="J324" s="69"/>
      <c r="K324" s="68" t="str">
        <f>'Carnet 1a.Fase'!F99</f>
        <v>DUDA</v>
      </c>
    </row>
    <row r="325" spans="1:11" ht="15" customHeight="1">
      <c r="A325" s="81"/>
      <c r="B325" s="82"/>
      <c r="D325" s="81"/>
      <c r="E325" s="82"/>
      <c r="G325" s="81"/>
      <c r="H325" s="82"/>
      <c r="I325" s="64"/>
      <c r="J325" s="81"/>
      <c r="K325" s="82"/>
    </row>
    <row r="326" spans="1:11" ht="15" customHeight="1">
      <c r="A326" s="83"/>
      <c r="B326" s="84"/>
      <c r="D326" s="83"/>
      <c r="E326" s="84"/>
      <c r="G326" s="83"/>
      <c r="H326" s="84"/>
      <c r="I326" s="64"/>
      <c r="J326" s="83"/>
      <c r="K326" s="84"/>
    </row>
    <row r="327" spans="1:11" ht="15" customHeight="1" thickBot="1">
      <c r="A327" s="85"/>
      <c r="B327" s="86"/>
      <c r="D327" s="85"/>
      <c r="E327" s="86"/>
      <c r="G327" s="85"/>
      <c r="H327" s="86"/>
      <c r="I327" s="64"/>
      <c r="J327" s="85"/>
      <c r="K327" s="86"/>
    </row>
    <row r="331" ht="15" customHeight="1" thickBot="1"/>
    <row r="332" spans="1:11" ht="15" customHeight="1" thickBot="1">
      <c r="A332" s="65" t="s">
        <v>200</v>
      </c>
      <c r="B332" s="78" t="s">
        <v>191</v>
      </c>
      <c r="C332" s="79"/>
      <c r="D332" s="80"/>
      <c r="E332" s="66" t="str">
        <f>'Carnet 1a.Fase'!G100</f>
        <v>MARCOS JUNQ.</v>
      </c>
      <c r="F332" s="67"/>
      <c r="G332" s="65" t="s">
        <v>201</v>
      </c>
      <c r="H332" s="78" t="s">
        <v>191</v>
      </c>
      <c r="I332" s="79"/>
      <c r="J332" s="80"/>
      <c r="K332" s="66" t="str">
        <f>'Carnet 1a.Fase'!G101</f>
        <v>FERNANDO</v>
      </c>
    </row>
    <row r="333" spans="1:11" ht="15" customHeight="1" thickBot="1">
      <c r="A333" s="68" t="str">
        <f>'Carnet 1a.Fase'!C100</f>
        <v>JORGITO</v>
      </c>
      <c r="B333" s="69"/>
      <c r="C333" s="70" t="s">
        <v>193</v>
      </c>
      <c r="D333" s="69"/>
      <c r="E333" s="68" t="str">
        <f>'Carnet 1a.Fase'!F100</f>
        <v>EDISON</v>
      </c>
      <c r="G333" s="68" t="str">
        <f>'Carnet 1a.Fase'!C101</f>
        <v>BRENO</v>
      </c>
      <c r="H333" s="69"/>
      <c r="I333" s="70" t="s">
        <v>193</v>
      </c>
      <c r="J333" s="69"/>
      <c r="K333" s="68" t="str">
        <f>'Carnet 1a.Fase'!F101</f>
        <v>VINÍCIUS</v>
      </c>
    </row>
    <row r="334" spans="1:11" ht="15" customHeight="1">
      <c r="A334" s="81"/>
      <c r="B334" s="82"/>
      <c r="D334" s="81"/>
      <c r="E334" s="82"/>
      <c r="G334" s="81"/>
      <c r="H334" s="82"/>
      <c r="I334" s="64"/>
      <c r="J334" s="81"/>
      <c r="K334" s="82"/>
    </row>
    <row r="335" spans="1:11" ht="15" customHeight="1">
      <c r="A335" s="83"/>
      <c r="B335" s="84"/>
      <c r="D335" s="83"/>
      <c r="E335" s="84"/>
      <c r="G335" s="83"/>
      <c r="H335" s="84"/>
      <c r="I335" s="64"/>
      <c r="J335" s="83"/>
      <c r="K335" s="84"/>
    </row>
    <row r="336" spans="1:11" ht="15" customHeight="1" thickBot="1">
      <c r="A336" s="85"/>
      <c r="B336" s="86"/>
      <c r="D336" s="85"/>
      <c r="E336" s="86"/>
      <c r="G336" s="85"/>
      <c r="H336" s="86"/>
      <c r="I336" s="64"/>
      <c r="J336" s="85"/>
      <c r="K336" s="86"/>
    </row>
    <row r="338" ht="15" customHeight="1" thickBot="1"/>
    <row r="339" spans="1:11" ht="15" customHeight="1" thickBot="1">
      <c r="A339" s="65" t="s">
        <v>202</v>
      </c>
      <c r="B339" s="78" t="s">
        <v>191</v>
      </c>
      <c r="C339" s="79"/>
      <c r="D339" s="80"/>
      <c r="E339" s="66" t="str">
        <f>'Carnet 1a.Fase'!G102</f>
        <v>MICHEL</v>
      </c>
      <c r="F339" s="67"/>
      <c r="G339" s="65" t="s">
        <v>203</v>
      </c>
      <c r="H339" s="78" t="s">
        <v>191</v>
      </c>
      <c r="I339" s="79"/>
      <c r="J339" s="80"/>
      <c r="K339" s="66" t="str">
        <f>'Carnet 1a.Fase'!G103</f>
        <v>AUGUSTO</v>
      </c>
    </row>
    <row r="340" spans="1:11" ht="15" customHeight="1" thickBot="1">
      <c r="A340" s="68" t="str">
        <f>'Carnet 1a.Fase'!C102</f>
        <v>TERROZO</v>
      </c>
      <c r="B340" s="69"/>
      <c r="C340" s="70" t="s">
        <v>193</v>
      </c>
      <c r="D340" s="69"/>
      <c r="E340" s="68" t="str">
        <f>'Carnet 1a.Fase'!F102</f>
        <v>BRANDÃO</v>
      </c>
      <c r="G340" s="68" t="str">
        <f>'Carnet 1a.Fase'!C103</f>
        <v>JOSÉ</v>
      </c>
      <c r="H340" s="69"/>
      <c r="I340" s="70" t="s">
        <v>193</v>
      </c>
      <c r="J340" s="69"/>
      <c r="K340" s="68" t="str">
        <f>'Carnet 1a.Fase'!F103</f>
        <v>SANDRO</v>
      </c>
    </row>
    <row r="341" spans="1:11" ht="15" customHeight="1">
      <c r="A341" s="81"/>
      <c r="B341" s="82"/>
      <c r="D341" s="81"/>
      <c r="E341" s="82"/>
      <c r="G341" s="81"/>
      <c r="H341" s="82"/>
      <c r="I341" s="64"/>
      <c r="J341" s="81"/>
      <c r="K341" s="82"/>
    </row>
    <row r="342" spans="1:11" ht="15" customHeight="1">
      <c r="A342" s="83"/>
      <c r="B342" s="84"/>
      <c r="D342" s="83"/>
      <c r="E342" s="84"/>
      <c r="G342" s="83"/>
      <c r="H342" s="84"/>
      <c r="I342" s="64"/>
      <c r="J342" s="83"/>
      <c r="K342" s="84"/>
    </row>
    <row r="343" spans="1:11" ht="15" customHeight="1" thickBot="1">
      <c r="A343" s="85"/>
      <c r="B343" s="86"/>
      <c r="D343" s="85"/>
      <c r="E343" s="86"/>
      <c r="G343" s="85"/>
      <c r="H343" s="86"/>
      <c r="I343" s="64"/>
      <c r="J343" s="85"/>
      <c r="K343" s="86"/>
    </row>
    <row r="345" ht="15" customHeight="1" thickBot="1"/>
    <row r="346" spans="1:11" ht="15" customHeight="1" thickBot="1">
      <c r="A346" s="65" t="s">
        <v>227</v>
      </c>
      <c r="B346" s="78" t="s">
        <v>191</v>
      </c>
      <c r="C346" s="79"/>
      <c r="D346" s="80"/>
      <c r="E346" s="66" t="str">
        <f>'Carnet 1a.Fase'!G104</f>
        <v>MARQUINHO</v>
      </c>
      <c r="F346" s="67"/>
      <c r="G346" s="65" t="s">
        <v>222</v>
      </c>
      <c r="H346" s="78" t="s">
        <v>191</v>
      </c>
      <c r="I346" s="79"/>
      <c r="J346" s="80"/>
      <c r="K346" s="66" t="str">
        <f>'Carnet 1a.Fase'!G105</f>
        <v>ITALO</v>
      </c>
    </row>
    <row r="347" spans="1:11" ht="15" customHeight="1" thickBot="1">
      <c r="A347" s="68" t="str">
        <f>'Carnet 1a.Fase'!C104</f>
        <v>THIAGO SCH.</v>
      </c>
      <c r="B347" s="69"/>
      <c r="C347" s="70" t="s">
        <v>193</v>
      </c>
      <c r="D347" s="69"/>
      <c r="E347" s="68" t="str">
        <f>'Carnet 1a.Fase'!F104</f>
        <v>MATEUS</v>
      </c>
      <c r="G347" s="68" t="str">
        <f>'Carnet 1a.Fase'!C105</f>
        <v>ELISANDRO</v>
      </c>
      <c r="H347" s="69"/>
      <c r="I347" s="70" t="s">
        <v>193</v>
      </c>
      <c r="J347" s="69"/>
      <c r="K347" s="68" t="str">
        <f>'Carnet 1a.Fase'!F105</f>
        <v>RUI</v>
      </c>
    </row>
    <row r="348" spans="1:11" ht="15" customHeight="1">
      <c r="A348" s="81"/>
      <c r="B348" s="82"/>
      <c r="D348" s="81"/>
      <c r="E348" s="82"/>
      <c r="G348" s="81"/>
      <c r="H348" s="82"/>
      <c r="I348" s="64"/>
      <c r="J348" s="81"/>
      <c r="K348" s="82"/>
    </row>
    <row r="349" spans="1:11" ht="15" customHeight="1">
      <c r="A349" s="83"/>
      <c r="B349" s="84"/>
      <c r="D349" s="83"/>
      <c r="E349" s="84"/>
      <c r="G349" s="83"/>
      <c r="H349" s="84"/>
      <c r="I349" s="64"/>
      <c r="J349" s="83"/>
      <c r="K349" s="84"/>
    </row>
    <row r="350" spans="1:11" ht="15" customHeight="1" thickBot="1">
      <c r="A350" s="85"/>
      <c r="B350" s="86"/>
      <c r="D350" s="85"/>
      <c r="E350" s="86"/>
      <c r="G350" s="85"/>
      <c r="H350" s="86"/>
      <c r="I350" s="64"/>
      <c r="J350" s="85"/>
      <c r="K350" s="86"/>
    </row>
    <row r="352" ht="15" customHeight="1" thickBot="1"/>
    <row r="353" spans="1:11" ht="15" customHeight="1" thickBot="1">
      <c r="A353" s="65" t="s">
        <v>206</v>
      </c>
      <c r="B353" s="78" t="s">
        <v>191</v>
      </c>
      <c r="C353" s="79"/>
      <c r="D353" s="80"/>
      <c r="E353" s="66" t="str">
        <f>'Carnet 1a.Fase'!G106</f>
        <v>SINVAL</v>
      </c>
      <c r="F353" s="67"/>
      <c r="G353" s="65" t="s">
        <v>207</v>
      </c>
      <c r="H353" s="78" t="s">
        <v>191</v>
      </c>
      <c r="I353" s="79"/>
      <c r="J353" s="80"/>
      <c r="K353" s="66" t="str">
        <f>'Carnet 1a.Fase'!G107</f>
        <v>AZAMBUJA</v>
      </c>
    </row>
    <row r="354" spans="1:11" ht="15" customHeight="1" thickBot="1">
      <c r="A354" s="68" t="str">
        <f>'Carnet 1a.Fase'!C106</f>
        <v>ROGÉRIO HAR.</v>
      </c>
      <c r="B354" s="69"/>
      <c r="C354" s="70" t="s">
        <v>193</v>
      </c>
      <c r="D354" s="69"/>
      <c r="E354" s="68" t="str">
        <f>'Carnet 1a.Fase'!F106</f>
        <v>ALESSANDRO</v>
      </c>
      <c r="G354" s="68" t="str">
        <f>'Carnet 1a.Fase'!C107</f>
        <v>LEANDRINHO</v>
      </c>
      <c r="H354" s="69"/>
      <c r="I354" s="70" t="s">
        <v>193</v>
      </c>
      <c r="J354" s="69"/>
      <c r="K354" s="68" t="str">
        <f>'Carnet 1a.Fase'!F107</f>
        <v>VICTOR</v>
      </c>
    </row>
    <row r="355" spans="1:11" ht="15" customHeight="1">
      <c r="A355" s="81"/>
      <c r="B355" s="82"/>
      <c r="D355" s="81"/>
      <c r="E355" s="82"/>
      <c r="G355" s="81"/>
      <c r="H355" s="82"/>
      <c r="I355" s="64"/>
      <c r="J355" s="81"/>
      <c r="K355" s="82"/>
    </row>
    <row r="356" spans="1:11" ht="15" customHeight="1">
      <c r="A356" s="83"/>
      <c r="B356" s="84"/>
      <c r="D356" s="83"/>
      <c r="E356" s="84"/>
      <c r="G356" s="83"/>
      <c r="H356" s="84"/>
      <c r="I356" s="64"/>
      <c r="J356" s="83"/>
      <c r="K356" s="84"/>
    </row>
    <row r="357" spans="1:11" ht="15" customHeight="1" thickBot="1">
      <c r="A357" s="85"/>
      <c r="B357" s="86"/>
      <c r="D357" s="85"/>
      <c r="E357" s="86"/>
      <c r="G357" s="85"/>
      <c r="H357" s="86"/>
      <c r="I357" s="64"/>
      <c r="J357" s="85"/>
      <c r="K357" s="86"/>
    </row>
  </sheetData>
  <sheetProtection/>
  <printOptions/>
  <pageMargins left="0.7" right="0.56" top="0.984251969" bottom="0.984251969" header="0.492125985" footer="0.492125985"/>
  <pageSetup horizontalDpi="300" verticalDpi="300" orientation="landscape" paperSize="9" r:id="rId1"/>
  <headerFooter alignWithMargins="0">
    <oddHeader>&amp;L&amp;"Arial,Negrito"&amp;12ESTADUAL ESPECIAL/&amp;C&amp;"Arial,Negrito" 1ª FASE&amp;R&amp;"Arial,Negrito"&amp;12____ªRODADA</oddHeader>
  </headerFooter>
  <rowBreaks count="10" manualBreakCount="10">
    <brk id="60" max="65535" man="1"/>
    <brk id="90" max="65535" man="1"/>
    <brk id="120" max="65535" man="1"/>
    <brk id="150" max="65535" man="1"/>
    <brk id="180" max="65535" man="1"/>
    <brk id="210" max="65535" man="1"/>
    <brk id="240" max="65535" man="1"/>
    <brk id="270" max="65535" man="1"/>
    <brk id="300" max="65535" man="1"/>
    <brk id="330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K177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0" customWidth="1"/>
    <col min="2" max="2" width="5.7109375" style="0" customWidth="1"/>
    <col min="3" max="3" width="2.00390625" style="64" customWidth="1"/>
    <col min="4" max="4" width="5.7109375" style="0" customWidth="1"/>
    <col min="5" max="5" width="22.7109375" style="0" customWidth="1"/>
    <col min="7" max="7" width="22.7109375" style="0" customWidth="1"/>
    <col min="8" max="8" width="5.7109375" style="0" customWidth="1"/>
    <col min="9" max="9" width="2.00390625" style="0" customWidth="1"/>
    <col min="10" max="10" width="5.7109375" style="0" customWidth="1"/>
    <col min="11" max="11" width="22.7109375" style="0" customWidth="1"/>
  </cols>
  <sheetData>
    <row r="1" ht="15" customHeight="1" thickBot="1"/>
    <row r="2" spans="1:11" s="67" customFormat="1" ht="15" customHeight="1" thickBot="1">
      <c r="A2" s="65" t="s">
        <v>208</v>
      </c>
      <c r="B2" s="78" t="s">
        <v>191</v>
      </c>
      <c r="C2" s="79"/>
      <c r="D2" s="80"/>
      <c r="E2" s="66" t="str">
        <f>'Carnet 2a.Fase'!G7</f>
        <v>DANI</v>
      </c>
      <c r="G2" s="65" t="s">
        <v>209</v>
      </c>
      <c r="H2" s="78" t="s">
        <v>191</v>
      </c>
      <c r="I2" s="79"/>
      <c r="J2" s="80"/>
      <c r="K2" s="66" t="str">
        <f>'Carnet 2a.Fase'!G8</f>
        <v>PAULO</v>
      </c>
    </row>
    <row r="3" spans="1:11" ht="15.75" customHeight="1" thickBot="1">
      <c r="A3" s="68" t="str">
        <f>'Carnet 2a.Fase'!C7</f>
        <v>JOÃO GARIMA</v>
      </c>
      <c r="B3" s="69"/>
      <c r="C3" s="70" t="s">
        <v>193</v>
      </c>
      <c r="D3" s="69"/>
      <c r="E3" s="68" t="str">
        <f>'Carnet 2a.Fase'!F7</f>
        <v>RUI</v>
      </c>
      <c r="G3" s="68" t="str">
        <f>'Carnet 2a.Fase'!C8</f>
        <v>SINVAL</v>
      </c>
      <c r="H3" s="69"/>
      <c r="I3" s="70" t="s">
        <v>193</v>
      </c>
      <c r="J3" s="69"/>
      <c r="K3" s="68" t="str">
        <f>'Carnet 2a.Fase'!F8</f>
        <v>EMERSON</v>
      </c>
    </row>
    <row r="4" spans="1:11" ht="15" customHeight="1">
      <c r="A4" s="81"/>
      <c r="B4" s="82"/>
      <c r="D4" s="81"/>
      <c r="E4" s="82"/>
      <c r="G4" s="81"/>
      <c r="H4" s="82"/>
      <c r="I4" s="64"/>
      <c r="J4" s="81"/>
      <c r="K4" s="82"/>
    </row>
    <row r="5" spans="1:11" ht="15" customHeight="1">
      <c r="A5" s="83"/>
      <c r="B5" s="84"/>
      <c r="D5" s="83"/>
      <c r="E5" s="84"/>
      <c r="G5" s="83"/>
      <c r="H5" s="84"/>
      <c r="I5" s="64"/>
      <c r="J5" s="83"/>
      <c r="K5" s="84"/>
    </row>
    <row r="6" spans="1:11" ht="15" customHeight="1" thickBot="1">
      <c r="A6" s="85"/>
      <c r="B6" s="86"/>
      <c r="D6" s="85"/>
      <c r="E6" s="86"/>
      <c r="G6" s="85"/>
      <c r="H6" s="86"/>
      <c r="I6" s="64"/>
      <c r="J6" s="85"/>
      <c r="K6" s="86"/>
    </row>
    <row r="8" ht="15" customHeight="1" thickBot="1"/>
    <row r="9" spans="1:11" s="67" customFormat="1" ht="15" customHeight="1" thickBot="1">
      <c r="A9" s="65" t="s">
        <v>210</v>
      </c>
      <c r="B9" s="78" t="s">
        <v>191</v>
      </c>
      <c r="C9" s="79"/>
      <c r="D9" s="80"/>
      <c r="E9" s="66" t="str">
        <f>'Carnet 2a.Fase'!G9</f>
        <v>KEVIN</v>
      </c>
      <c r="G9" s="65" t="s">
        <v>211</v>
      </c>
      <c r="H9" s="78" t="s">
        <v>191</v>
      </c>
      <c r="I9" s="79"/>
      <c r="J9" s="80"/>
      <c r="K9" s="66" t="str">
        <f>'Carnet 2a.Fase'!G10</f>
        <v>BETÃO</v>
      </c>
    </row>
    <row r="10" spans="1:11" ht="15.75" customHeight="1" thickBot="1">
      <c r="A10" s="68" t="str">
        <f>'Carnet 2a.Fase'!C9</f>
        <v>PUFAL</v>
      </c>
      <c r="B10" s="69"/>
      <c r="C10" s="70" t="s">
        <v>193</v>
      </c>
      <c r="D10" s="69"/>
      <c r="E10" s="68" t="str">
        <f>'Carnet 2a.Fase'!F9</f>
        <v>JULINHO</v>
      </c>
      <c r="G10" s="68" t="str">
        <f>'Carnet 2a.Fase'!C10</f>
        <v>ZILBER</v>
      </c>
      <c r="H10" s="69"/>
      <c r="I10" s="70" t="s">
        <v>193</v>
      </c>
      <c r="J10" s="69"/>
      <c r="K10" s="68" t="str">
        <f>'Carnet 2a.Fase'!F10</f>
        <v>ALEX</v>
      </c>
    </row>
    <row r="11" spans="1:11" ht="15" customHeight="1">
      <c r="A11" s="81"/>
      <c r="B11" s="82"/>
      <c r="D11" s="81"/>
      <c r="E11" s="82"/>
      <c r="G11" s="81"/>
      <c r="H11" s="82"/>
      <c r="I11" s="64"/>
      <c r="J11" s="81"/>
      <c r="K11" s="82"/>
    </row>
    <row r="12" spans="1:11" ht="15" customHeight="1">
      <c r="A12" s="83"/>
      <c r="B12" s="84"/>
      <c r="D12" s="83"/>
      <c r="E12" s="84"/>
      <c r="G12" s="83"/>
      <c r="H12" s="84"/>
      <c r="I12" s="64"/>
      <c r="J12" s="83"/>
      <c r="K12" s="84"/>
    </row>
    <row r="13" spans="1:11" ht="15" customHeight="1" thickBot="1">
      <c r="A13" s="85"/>
      <c r="B13" s="86"/>
      <c r="D13" s="85"/>
      <c r="E13" s="86"/>
      <c r="G13" s="85"/>
      <c r="H13" s="86"/>
      <c r="I13" s="64"/>
      <c r="J13" s="85"/>
      <c r="K13" s="86"/>
    </row>
    <row r="15" ht="15" customHeight="1" thickBot="1"/>
    <row r="16" spans="1:11" s="67" customFormat="1" ht="15" customHeight="1" thickBot="1">
      <c r="A16" s="65" t="s">
        <v>212</v>
      </c>
      <c r="B16" s="78" t="s">
        <v>191</v>
      </c>
      <c r="C16" s="79"/>
      <c r="D16" s="80"/>
      <c r="E16" s="66" t="str">
        <f>'Carnet 2a.Fase'!G11</f>
        <v>ROGÉRIO FEIJÓ</v>
      </c>
      <c r="G16" s="65" t="s">
        <v>224</v>
      </c>
      <c r="H16" s="78" t="s">
        <v>191</v>
      </c>
      <c r="I16" s="79"/>
      <c r="J16" s="80"/>
      <c r="K16" s="66" t="str">
        <f>'Carnet 2a.Fase'!G12</f>
        <v>CAJU</v>
      </c>
    </row>
    <row r="17" spans="1:11" ht="15.75" customHeight="1" thickBot="1">
      <c r="A17" s="68" t="str">
        <f>'Carnet 2a.Fase'!C11</f>
        <v>BRANDÃO</v>
      </c>
      <c r="B17" s="69"/>
      <c r="C17" s="70" t="s">
        <v>193</v>
      </c>
      <c r="D17" s="69"/>
      <c r="E17" s="68" t="str">
        <f>'Carnet 2a.Fase'!F11</f>
        <v>JONI</v>
      </c>
      <c r="G17" s="68" t="str">
        <f>'Carnet 2a.Fase'!C12</f>
        <v>DUDA</v>
      </c>
      <c r="H17" s="69"/>
      <c r="I17" s="70" t="s">
        <v>193</v>
      </c>
      <c r="J17" s="69"/>
      <c r="K17" s="68" t="str">
        <f>'Carnet 2a.Fase'!F12</f>
        <v>MALLET</v>
      </c>
    </row>
    <row r="18" spans="1:11" ht="15" customHeight="1">
      <c r="A18" s="81"/>
      <c r="B18" s="82"/>
      <c r="D18" s="81"/>
      <c r="E18" s="82"/>
      <c r="G18" s="81"/>
      <c r="H18" s="82"/>
      <c r="I18" s="64"/>
      <c r="J18" s="81"/>
      <c r="K18" s="82"/>
    </row>
    <row r="19" spans="1:11" ht="15" customHeight="1">
      <c r="A19" s="83"/>
      <c r="B19" s="84"/>
      <c r="D19" s="83"/>
      <c r="E19" s="84"/>
      <c r="G19" s="83"/>
      <c r="H19" s="84"/>
      <c r="I19" s="64"/>
      <c r="J19" s="83"/>
      <c r="K19" s="84"/>
    </row>
    <row r="20" spans="1:11" ht="15" customHeight="1" thickBot="1">
      <c r="A20" s="85"/>
      <c r="B20" s="86"/>
      <c r="D20" s="85"/>
      <c r="E20" s="86"/>
      <c r="G20" s="85"/>
      <c r="H20" s="86"/>
      <c r="I20" s="64"/>
      <c r="J20" s="85"/>
      <c r="K20" s="86"/>
    </row>
    <row r="22" ht="15" customHeight="1" thickBot="1"/>
    <row r="23" spans="1:11" s="67" customFormat="1" ht="15" customHeight="1" thickBot="1">
      <c r="A23" s="65" t="s">
        <v>214</v>
      </c>
      <c r="B23" s="78" t="s">
        <v>191</v>
      </c>
      <c r="C23" s="79"/>
      <c r="D23" s="80"/>
      <c r="E23" s="66" t="str">
        <f>'Carnet 2a.Fase'!G13</f>
        <v>LEANDRO</v>
      </c>
      <c r="G23" s="65" t="s">
        <v>199</v>
      </c>
      <c r="H23" s="78" t="s">
        <v>191</v>
      </c>
      <c r="I23" s="79"/>
      <c r="J23" s="80"/>
      <c r="K23" s="66" t="str">
        <f>'Carnet 2a.Fase'!G14</f>
        <v>LUCIANO</v>
      </c>
    </row>
    <row r="24" spans="1:11" ht="15.75" customHeight="1" thickBot="1">
      <c r="A24" s="68" t="str">
        <f>'Carnet 2a.Fase'!C13</f>
        <v>BRENO</v>
      </c>
      <c r="B24" s="69"/>
      <c r="C24" s="70" t="s">
        <v>193</v>
      </c>
      <c r="D24" s="69"/>
      <c r="E24" s="68" t="str">
        <f>'Carnet 2a.Fase'!F13</f>
        <v>ELISANDRO</v>
      </c>
      <c r="G24" s="68" t="str">
        <f>'Carnet 2a.Fase'!C14</f>
        <v>VINICIUS</v>
      </c>
      <c r="H24" s="69"/>
      <c r="I24" s="70" t="s">
        <v>193</v>
      </c>
      <c r="J24" s="69"/>
      <c r="K24" s="68" t="str">
        <f>'Carnet 2a.Fase'!F14</f>
        <v>VINHAS</v>
      </c>
    </row>
    <row r="25" spans="1:11" ht="15" customHeight="1">
      <c r="A25" s="81"/>
      <c r="B25" s="82"/>
      <c r="D25" s="81"/>
      <c r="E25" s="82"/>
      <c r="G25" s="81"/>
      <c r="H25" s="82"/>
      <c r="I25" s="64"/>
      <c r="J25" s="81"/>
      <c r="K25" s="82"/>
    </row>
    <row r="26" spans="1:11" ht="15" customHeight="1">
      <c r="A26" s="83"/>
      <c r="B26" s="84"/>
      <c r="D26" s="83"/>
      <c r="E26" s="84"/>
      <c r="G26" s="83"/>
      <c r="H26" s="84"/>
      <c r="I26" s="64"/>
      <c r="J26" s="83"/>
      <c r="K26" s="84"/>
    </row>
    <row r="27" spans="1:11" ht="15" customHeight="1" thickBot="1">
      <c r="A27" s="85"/>
      <c r="B27" s="86"/>
      <c r="D27" s="85"/>
      <c r="E27" s="86"/>
      <c r="G27" s="85"/>
      <c r="H27" s="86"/>
      <c r="I27" s="64"/>
      <c r="J27" s="85"/>
      <c r="K27" s="86"/>
    </row>
    <row r="31" ht="15" customHeight="1" thickBot="1"/>
    <row r="32" spans="1:11" ht="15" customHeight="1" thickBot="1">
      <c r="A32" s="65" t="s">
        <v>200</v>
      </c>
      <c r="B32" s="78" t="s">
        <v>191</v>
      </c>
      <c r="C32" s="79"/>
      <c r="D32" s="80"/>
      <c r="E32" s="66" t="str">
        <f>'Carnet 2a.Fase'!G15</f>
        <v>EDISON</v>
      </c>
      <c r="F32" s="67"/>
      <c r="G32" s="65" t="s">
        <v>201</v>
      </c>
      <c r="H32" s="78" t="s">
        <v>191</v>
      </c>
      <c r="I32" s="79"/>
      <c r="J32" s="80"/>
      <c r="K32" s="66" t="str">
        <f>'Carnet 2a.Fase'!G16</f>
        <v>MARCOS JUNQ.</v>
      </c>
    </row>
    <row r="33" spans="1:11" ht="15" customHeight="1" thickBot="1">
      <c r="A33" s="68" t="str">
        <f>'Carnet 2a.Fase'!C15</f>
        <v>RODRIGO B.</v>
      </c>
      <c r="B33" s="69"/>
      <c r="C33" s="70" t="s">
        <v>193</v>
      </c>
      <c r="D33" s="69"/>
      <c r="E33" s="68" t="str">
        <f>'Carnet 2a.Fase'!F15</f>
        <v>PAIM</v>
      </c>
      <c r="G33" s="68" t="str">
        <f>'Carnet 2a.Fase'!C16</f>
        <v>MICHEL</v>
      </c>
      <c r="H33" s="69"/>
      <c r="I33" s="70" t="s">
        <v>193</v>
      </c>
      <c r="J33" s="69"/>
      <c r="K33" s="68" t="str">
        <f>'Carnet 2a.Fase'!F16</f>
        <v>JOSÉ</v>
      </c>
    </row>
    <row r="34" spans="1:11" ht="15" customHeight="1">
      <c r="A34" s="81"/>
      <c r="B34" s="82"/>
      <c r="D34" s="81"/>
      <c r="E34" s="82"/>
      <c r="G34" s="81"/>
      <c r="H34" s="82"/>
      <c r="I34" s="64"/>
      <c r="J34" s="81"/>
      <c r="K34" s="82"/>
    </row>
    <row r="35" spans="1:11" ht="15" customHeight="1">
      <c r="A35" s="83"/>
      <c r="B35" s="84"/>
      <c r="D35" s="83"/>
      <c r="E35" s="84"/>
      <c r="G35" s="83"/>
      <c r="H35" s="84"/>
      <c r="I35" s="64"/>
      <c r="J35" s="83"/>
      <c r="K35" s="84"/>
    </row>
    <row r="36" spans="1:11" ht="15" customHeight="1" thickBot="1">
      <c r="A36" s="85"/>
      <c r="B36" s="86"/>
      <c r="D36" s="85"/>
      <c r="E36" s="86"/>
      <c r="G36" s="85"/>
      <c r="H36" s="86"/>
      <c r="I36" s="64"/>
      <c r="J36" s="85"/>
      <c r="K36" s="86"/>
    </row>
    <row r="38" ht="15" customHeight="1" thickBot="1"/>
    <row r="39" spans="1:11" ht="15" customHeight="1" thickBot="1">
      <c r="A39" s="65" t="s">
        <v>202</v>
      </c>
      <c r="B39" s="78" t="s">
        <v>191</v>
      </c>
      <c r="C39" s="79"/>
      <c r="D39" s="80"/>
      <c r="E39" s="66" t="str">
        <f>'Carnet 2a.Fase'!G17</f>
        <v>SANDRO</v>
      </c>
      <c r="F39" s="67"/>
      <c r="G39" s="65" t="s">
        <v>203</v>
      </c>
      <c r="H39" s="78" t="s">
        <v>191</v>
      </c>
      <c r="I39" s="79"/>
      <c r="J39" s="80"/>
      <c r="K39" s="66" t="str">
        <f>'Carnet 2a.Fase'!G18</f>
        <v>AUGUSTO</v>
      </c>
    </row>
    <row r="40" spans="1:11" ht="15" customHeight="1" thickBot="1">
      <c r="A40" s="68" t="str">
        <f>'Carnet 2a.Fase'!C17</f>
        <v>ELIAS</v>
      </c>
      <c r="B40" s="69"/>
      <c r="C40" s="70" t="s">
        <v>193</v>
      </c>
      <c r="D40" s="69"/>
      <c r="E40" s="68" t="str">
        <f>'Carnet 2a.Fase'!F17</f>
        <v>ROBSON</v>
      </c>
      <c r="G40" s="68" t="str">
        <f>'Carnet 2a.Fase'!C18</f>
        <v>MARQUINHO</v>
      </c>
      <c r="H40" s="69"/>
      <c r="I40" s="70" t="s">
        <v>193</v>
      </c>
      <c r="J40" s="69"/>
      <c r="K40" s="68" t="str">
        <f>'Carnet 2a.Fase'!F18</f>
        <v>LEANDRINHO</v>
      </c>
    </row>
    <row r="41" spans="1:11" ht="15" customHeight="1">
      <c r="A41" s="81"/>
      <c r="B41" s="82"/>
      <c r="D41" s="81"/>
      <c r="E41" s="82"/>
      <c r="G41" s="81"/>
      <c r="H41" s="82"/>
      <c r="I41" s="64"/>
      <c r="J41" s="81"/>
      <c r="K41" s="82"/>
    </row>
    <row r="42" spans="1:11" ht="15" customHeight="1">
      <c r="A42" s="83"/>
      <c r="B42" s="84"/>
      <c r="D42" s="83"/>
      <c r="E42" s="84"/>
      <c r="G42" s="83"/>
      <c r="H42" s="84"/>
      <c r="I42" s="64"/>
      <c r="J42" s="83"/>
      <c r="K42" s="84"/>
    </row>
    <row r="43" spans="1:11" ht="15" customHeight="1" thickBot="1">
      <c r="A43" s="85"/>
      <c r="B43" s="86"/>
      <c r="D43" s="85"/>
      <c r="E43" s="86"/>
      <c r="G43" s="85"/>
      <c r="H43" s="86"/>
      <c r="I43" s="64"/>
      <c r="J43" s="85"/>
      <c r="K43" s="86"/>
    </row>
    <row r="45" ht="15" customHeight="1" thickBot="1"/>
    <row r="46" spans="1:11" ht="15" customHeight="1" thickBot="1">
      <c r="A46" s="65" t="s">
        <v>204</v>
      </c>
      <c r="B46" s="78" t="s">
        <v>191</v>
      </c>
      <c r="C46" s="79"/>
      <c r="D46" s="80"/>
      <c r="E46" s="66" t="str">
        <f>'Carnet 2a.Fase'!G19</f>
        <v>MATEUS</v>
      </c>
      <c r="F46" s="67"/>
      <c r="G46" s="65" t="s">
        <v>222</v>
      </c>
      <c r="H46" s="78" t="s">
        <v>191</v>
      </c>
      <c r="I46" s="79"/>
      <c r="J46" s="80"/>
      <c r="K46" s="66" t="str">
        <f>'Carnet 2a.Fase'!G20</f>
        <v>MARCOS ANT.</v>
      </c>
    </row>
    <row r="47" spans="1:11" ht="15" customHeight="1" thickBot="1">
      <c r="A47" s="68" t="str">
        <f>'Carnet 2a.Fase'!C19</f>
        <v>LEÃO</v>
      </c>
      <c r="B47" s="69"/>
      <c r="C47" s="70" t="s">
        <v>193</v>
      </c>
      <c r="D47" s="69"/>
      <c r="E47" s="68" t="str">
        <f>'Carnet 2a.Fase'!F19</f>
        <v>NILMAR</v>
      </c>
      <c r="G47" s="68" t="str">
        <f>'Carnet 2a.Fase'!C20</f>
        <v>ALESSANDRO</v>
      </c>
      <c r="H47" s="69"/>
      <c r="I47" s="70" t="s">
        <v>193</v>
      </c>
      <c r="J47" s="69"/>
      <c r="K47" s="68" t="str">
        <f>'Carnet 2a.Fase'!F20</f>
        <v>OSMAR</v>
      </c>
    </row>
    <row r="48" spans="1:11" ht="15" customHeight="1">
      <c r="A48" s="81"/>
      <c r="B48" s="82"/>
      <c r="D48" s="81"/>
      <c r="E48" s="82"/>
      <c r="G48" s="81"/>
      <c r="H48" s="82"/>
      <c r="I48" s="64"/>
      <c r="J48" s="81"/>
      <c r="K48" s="82"/>
    </row>
    <row r="49" spans="1:11" ht="15" customHeight="1">
      <c r="A49" s="83"/>
      <c r="B49" s="84"/>
      <c r="D49" s="83"/>
      <c r="E49" s="84"/>
      <c r="G49" s="83"/>
      <c r="H49" s="84"/>
      <c r="I49" s="64"/>
      <c r="J49" s="83"/>
      <c r="K49" s="84"/>
    </row>
    <row r="50" spans="1:11" ht="15" customHeight="1" thickBot="1">
      <c r="A50" s="85"/>
      <c r="B50" s="86"/>
      <c r="D50" s="85"/>
      <c r="E50" s="86"/>
      <c r="G50" s="85"/>
      <c r="H50" s="86"/>
      <c r="I50" s="64"/>
      <c r="J50" s="85"/>
      <c r="K50" s="86"/>
    </row>
    <row r="52" ht="15" customHeight="1" thickBot="1"/>
    <row r="53" spans="1:11" ht="15" customHeight="1" thickBot="1">
      <c r="A53" s="65" t="s">
        <v>206</v>
      </c>
      <c r="B53" s="78" t="s">
        <v>191</v>
      </c>
      <c r="C53" s="79"/>
      <c r="D53" s="80"/>
      <c r="E53" s="66" t="str">
        <f>'Carnet 2a.Fase'!G21</f>
        <v>ROGÉRIO HAR.</v>
      </c>
      <c r="F53" s="67"/>
      <c r="G53" s="65" t="s">
        <v>207</v>
      </c>
      <c r="H53" s="78" t="s">
        <v>191</v>
      </c>
      <c r="I53" s="79"/>
      <c r="J53" s="80"/>
      <c r="K53" s="66" t="str">
        <f>'Carnet 2a.Fase'!G22</f>
        <v>AZAMBUJA</v>
      </c>
    </row>
    <row r="54" spans="1:11" ht="15" customHeight="1" thickBot="1">
      <c r="A54" s="68" t="str">
        <f>'Carnet 2a.Fase'!C21</f>
        <v>ALDIR</v>
      </c>
      <c r="B54" s="69"/>
      <c r="C54" s="70" t="s">
        <v>193</v>
      </c>
      <c r="D54" s="69"/>
      <c r="E54" s="68" t="str">
        <f>'Carnet 2a.Fase'!F21</f>
        <v>FELIPE</v>
      </c>
      <c r="G54" s="68" t="str">
        <f>'Carnet 2a.Fase'!C22</f>
        <v>DIOGO MALLET</v>
      </c>
      <c r="H54" s="69"/>
      <c r="I54" s="70" t="s">
        <v>193</v>
      </c>
      <c r="J54" s="69"/>
      <c r="K54" s="68" t="str">
        <f>'Carnet 2a.Fase'!F22</f>
        <v>SILVIO</v>
      </c>
    </row>
    <row r="55" spans="1:11" ht="15" customHeight="1">
      <c r="A55" s="81"/>
      <c r="B55" s="82"/>
      <c r="D55" s="81"/>
      <c r="E55" s="82"/>
      <c r="G55" s="81"/>
      <c r="H55" s="82"/>
      <c r="I55" s="64"/>
      <c r="J55" s="81"/>
      <c r="K55" s="82"/>
    </row>
    <row r="56" spans="1:11" ht="15" customHeight="1">
      <c r="A56" s="83"/>
      <c r="B56" s="84"/>
      <c r="D56" s="83"/>
      <c r="E56" s="84"/>
      <c r="G56" s="83"/>
      <c r="H56" s="84"/>
      <c r="I56" s="64"/>
      <c r="J56" s="83"/>
      <c r="K56" s="84"/>
    </row>
    <row r="57" spans="1:11" ht="15" customHeight="1" thickBot="1">
      <c r="A57" s="85"/>
      <c r="B57" s="86"/>
      <c r="D57" s="85"/>
      <c r="E57" s="86"/>
      <c r="G57" s="85"/>
      <c r="H57" s="86"/>
      <c r="I57" s="64"/>
      <c r="J57" s="85"/>
      <c r="K57" s="86"/>
    </row>
    <row r="61" ht="15" customHeight="1" thickBot="1"/>
    <row r="62" spans="1:11" ht="15" customHeight="1" thickBot="1">
      <c r="A62" s="65" t="s">
        <v>208</v>
      </c>
      <c r="B62" s="78" t="s">
        <v>191</v>
      </c>
      <c r="C62" s="79"/>
      <c r="D62" s="80"/>
      <c r="E62" s="66" t="str">
        <f>'Carnet 2a.Fase'!G24</f>
        <v>OCHOINHA</v>
      </c>
      <c r="F62" s="67"/>
      <c r="G62" s="65" t="s">
        <v>219</v>
      </c>
      <c r="H62" s="78" t="s">
        <v>191</v>
      </c>
      <c r="I62" s="79"/>
      <c r="J62" s="80"/>
      <c r="K62" s="66" t="str">
        <f>'Carnet 2a.Fase'!G25</f>
        <v>DIOGO BRAGA</v>
      </c>
    </row>
    <row r="63" spans="1:11" ht="15" customHeight="1" thickBot="1">
      <c r="A63" s="68" t="str">
        <f>'Carnet 2a.Fase'!C24</f>
        <v>EMERSON</v>
      </c>
      <c r="B63" s="69"/>
      <c r="C63" s="70" t="s">
        <v>193</v>
      </c>
      <c r="D63" s="69"/>
      <c r="E63" s="68" t="str">
        <f>'Carnet 2a.Fase'!F24</f>
        <v>JOÃO GARIMA</v>
      </c>
      <c r="G63" s="68" t="str">
        <f>'Carnet 2a.Fase'!C25</f>
        <v>RUI</v>
      </c>
      <c r="H63" s="69"/>
      <c r="I63" s="70" t="s">
        <v>193</v>
      </c>
      <c r="J63" s="69"/>
      <c r="K63" s="68" t="str">
        <f>'Carnet 2a.Fase'!F25</f>
        <v>SINVAL</v>
      </c>
    </row>
    <row r="64" spans="1:11" ht="15" customHeight="1">
      <c r="A64" s="81"/>
      <c r="B64" s="82"/>
      <c r="D64" s="81"/>
      <c r="E64" s="82"/>
      <c r="G64" s="81"/>
      <c r="H64" s="82"/>
      <c r="I64" s="64"/>
      <c r="J64" s="81"/>
      <c r="K64" s="82"/>
    </row>
    <row r="65" spans="1:11" ht="15" customHeight="1">
      <c r="A65" s="83"/>
      <c r="B65" s="84"/>
      <c r="D65" s="83"/>
      <c r="E65" s="84"/>
      <c r="G65" s="83"/>
      <c r="H65" s="84"/>
      <c r="I65" s="64"/>
      <c r="J65" s="83"/>
      <c r="K65" s="84"/>
    </row>
    <row r="66" spans="1:11" ht="15" customHeight="1" thickBot="1">
      <c r="A66" s="85"/>
      <c r="B66" s="86"/>
      <c r="D66" s="85"/>
      <c r="E66" s="86"/>
      <c r="G66" s="85"/>
      <c r="H66" s="86"/>
      <c r="I66" s="64"/>
      <c r="J66" s="85"/>
      <c r="K66" s="86"/>
    </row>
    <row r="68" ht="15" customHeight="1" thickBot="1"/>
    <row r="69" spans="1:11" ht="15" customHeight="1" thickBot="1">
      <c r="A69" s="65" t="s">
        <v>210</v>
      </c>
      <c r="B69" s="78" t="s">
        <v>191</v>
      </c>
      <c r="C69" s="79"/>
      <c r="D69" s="80"/>
      <c r="E69" s="66" t="str">
        <f>'Carnet 2a.Fase'!G26</f>
        <v>CHRISTIAN</v>
      </c>
      <c r="F69" s="67"/>
      <c r="G69" s="65" t="s">
        <v>211</v>
      </c>
      <c r="H69" s="78" t="s">
        <v>191</v>
      </c>
      <c r="I69" s="79"/>
      <c r="J69" s="80"/>
      <c r="K69" s="66" t="str">
        <f>'Carnet 2a.Fase'!G27</f>
        <v>RENAN</v>
      </c>
    </row>
    <row r="70" spans="1:11" ht="15" customHeight="1" thickBot="1">
      <c r="A70" s="68" t="str">
        <f>'Carnet 2a.Fase'!C26</f>
        <v>ALEX</v>
      </c>
      <c r="B70" s="69"/>
      <c r="C70" s="70" t="s">
        <v>193</v>
      </c>
      <c r="D70" s="69"/>
      <c r="E70" s="68" t="str">
        <f>'Carnet 2a.Fase'!F26</f>
        <v>PUFAL</v>
      </c>
      <c r="G70" s="68" t="str">
        <f>'Carnet 2a.Fase'!C27</f>
        <v>JULINHO</v>
      </c>
      <c r="H70" s="69"/>
      <c r="I70" s="70" t="s">
        <v>193</v>
      </c>
      <c r="J70" s="69"/>
      <c r="K70" s="68" t="str">
        <f>'Carnet 2a.Fase'!F27</f>
        <v>ZILBER</v>
      </c>
    </row>
    <row r="71" spans="1:11" ht="15" customHeight="1">
      <c r="A71" s="81"/>
      <c r="B71" s="82"/>
      <c r="D71" s="81"/>
      <c r="E71" s="82"/>
      <c r="G71" s="81"/>
      <c r="H71" s="82"/>
      <c r="I71" s="64"/>
      <c r="J71" s="81"/>
      <c r="K71" s="82"/>
    </row>
    <row r="72" spans="1:11" ht="15" customHeight="1">
      <c r="A72" s="83"/>
      <c r="B72" s="84"/>
      <c r="D72" s="83"/>
      <c r="E72" s="84"/>
      <c r="G72" s="83"/>
      <c r="H72" s="84"/>
      <c r="I72" s="64"/>
      <c r="J72" s="83"/>
      <c r="K72" s="84"/>
    </row>
    <row r="73" spans="1:11" ht="15" customHeight="1" thickBot="1">
      <c r="A73" s="85"/>
      <c r="B73" s="86"/>
      <c r="D73" s="85"/>
      <c r="E73" s="86"/>
      <c r="G73" s="85"/>
      <c r="H73" s="86"/>
      <c r="I73" s="64"/>
      <c r="J73" s="85"/>
      <c r="K73" s="86"/>
    </row>
    <row r="75" ht="15" customHeight="1" thickBot="1"/>
    <row r="76" spans="1:11" ht="15" customHeight="1" thickBot="1">
      <c r="A76" s="65" t="s">
        <v>220</v>
      </c>
      <c r="B76" s="78" t="s">
        <v>191</v>
      </c>
      <c r="C76" s="79"/>
      <c r="D76" s="80"/>
      <c r="E76" s="66" t="str">
        <f>'Carnet 2a.Fase'!G28</f>
        <v>ANTONIO</v>
      </c>
      <c r="F76" s="67"/>
      <c r="G76" s="65" t="s">
        <v>224</v>
      </c>
      <c r="H76" s="78" t="s">
        <v>191</v>
      </c>
      <c r="I76" s="79"/>
      <c r="J76" s="80"/>
      <c r="K76" s="66" t="str">
        <f>'Carnet 2a.Fase'!G29</f>
        <v>EVERTON</v>
      </c>
    </row>
    <row r="77" spans="1:11" ht="15" customHeight="1" thickBot="1">
      <c r="A77" s="68" t="str">
        <f>'Carnet 2a.Fase'!C28</f>
        <v>MALLET</v>
      </c>
      <c r="B77" s="69"/>
      <c r="C77" s="70" t="s">
        <v>193</v>
      </c>
      <c r="D77" s="69"/>
      <c r="E77" s="68" t="str">
        <f>'Carnet 2a.Fase'!F28</f>
        <v>BRANDÃO</v>
      </c>
      <c r="G77" s="68" t="str">
        <f>'Carnet 2a.Fase'!C29</f>
        <v>JONI</v>
      </c>
      <c r="H77" s="69"/>
      <c r="I77" s="70" t="s">
        <v>193</v>
      </c>
      <c r="J77" s="69"/>
      <c r="K77" s="68" t="str">
        <f>'Carnet 2a.Fase'!F29</f>
        <v>DUDA</v>
      </c>
    </row>
    <row r="78" spans="1:11" ht="15" customHeight="1">
      <c r="A78" s="81"/>
      <c r="B78" s="82"/>
      <c r="D78" s="81"/>
      <c r="E78" s="82"/>
      <c r="G78" s="81"/>
      <c r="H78" s="82"/>
      <c r="I78" s="64"/>
      <c r="J78" s="81"/>
      <c r="K78" s="82"/>
    </row>
    <row r="79" spans="1:11" ht="15" customHeight="1">
      <c r="A79" s="83"/>
      <c r="B79" s="84"/>
      <c r="D79" s="83"/>
      <c r="E79" s="84"/>
      <c r="G79" s="83"/>
      <c r="H79" s="84"/>
      <c r="I79" s="64"/>
      <c r="J79" s="83"/>
      <c r="K79" s="84"/>
    </row>
    <row r="80" spans="1:11" ht="15" customHeight="1" thickBot="1">
      <c r="A80" s="85"/>
      <c r="B80" s="86"/>
      <c r="D80" s="85"/>
      <c r="E80" s="86"/>
      <c r="G80" s="85"/>
      <c r="H80" s="86"/>
      <c r="I80" s="64"/>
      <c r="J80" s="85"/>
      <c r="K80" s="86"/>
    </row>
    <row r="82" ht="15" customHeight="1" thickBot="1"/>
    <row r="83" spans="1:11" ht="15" customHeight="1" thickBot="1">
      <c r="A83" s="65" t="s">
        <v>228</v>
      </c>
      <c r="B83" s="78" t="s">
        <v>191</v>
      </c>
      <c r="C83" s="79"/>
      <c r="D83" s="80"/>
      <c r="E83" s="66" t="str">
        <f>'Carnet 2a.Fase'!G30</f>
        <v>CRISTIANO</v>
      </c>
      <c r="F83" s="67"/>
      <c r="G83" s="65" t="s">
        <v>199</v>
      </c>
      <c r="H83" s="78" t="s">
        <v>191</v>
      </c>
      <c r="I83" s="79"/>
      <c r="J83" s="80"/>
      <c r="K83" s="66" t="str">
        <f>'Carnet 2a.Fase'!G31</f>
        <v>JULIO</v>
      </c>
    </row>
    <row r="84" spans="1:11" ht="15" customHeight="1" thickBot="1">
      <c r="A84" s="68" t="str">
        <f>'Carnet 2a.Fase'!C30</f>
        <v>VINHAS</v>
      </c>
      <c r="B84" s="69"/>
      <c r="C84" s="70" t="s">
        <v>193</v>
      </c>
      <c r="D84" s="69"/>
      <c r="E84" s="68" t="str">
        <f>'Carnet 2a.Fase'!F30</f>
        <v>BRENO</v>
      </c>
      <c r="G84" s="68" t="str">
        <f>'Carnet 2a.Fase'!C31</f>
        <v>ELISANDRO</v>
      </c>
      <c r="H84" s="69"/>
      <c r="I84" s="70" t="s">
        <v>193</v>
      </c>
      <c r="J84" s="69"/>
      <c r="K84" s="68" t="str">
        <f>'Carnet 2a.Fase'!F31</f>
        <v>VINICIUS</v>
      </c>
    </row>
    <row r="85" spans="1:11" ht="15" customHeight="1">
      <c r="A85" s="81"/>
      <c r="B85" s="82"/>
      <c r="D85" s="81"/>
      <c r="E85" s="82"/>
      <c r="G85" s="81"/>
      <c r="H85" s="82"/>
      <c r="I85" s="64"/>
      <c r="J85" s="81"/>
      <c r="K85" s="82"/>
    </row>
    <row r="86" spans="1:11" ht="15" customHeight="1">
      <c r="A86" s="83"/>
      <c r="B86" s="84"/>
      <c r="D86" s="83"/>
      <c r="E86" s="84"/>
      <c r="G86" s="83"/>
      <c r="H86" s="84"/>
      <c r="I86" s="64"/>
      <c r="J86" s="83"/>
      <c r="K86" s="84"/>
    </row>
    <row r="87" spans="1:11" ht="15" customHeight="1" thickBot="1">
      <c r="A87" s="85"/>
      <c r="B87" s="86"/>
      <c r="D87" s="85"/>
      <c r="E87" s="86"/>
      <c r="G87" s="85"/>
      <c r="H87" s="86"/>
      <c r="I87" s="64"/>
      <c r="J87" s="85"/>
      <c r="K87" s="86"/>
    </row>
    <row r="91" ht="15" customHeight="1" thickBot="1"/>
    <row r="92" spans="1:11" ht="15" customHeight="1" thickBot="1">
      <c r="A92" s="65" t="s">
        <v>200</v>
      </c>
      <c r="B92" s="78" t="s">
        <v>191</v>
      </c>
      <c r="C92" s="79"/>
      <c r="D92" s="80"/>
      <c r="E92" s="66" t="str">
        <f>'Carnet 2a.Fase'!G32</f>
        <v>JORGITO</v>
      </c>
      <c r="F92" s="67"/>
      <c r="G92" s="65" t="s">
        <v>215</v>
      </c>
      <c r="H92" s="78" t="s">
        <v>191</v>
      </c>
      <c r="I92" s="79"/>
      <c r="J92" s="80"/>
      <c r="K92" s="66" t="str">
        <f>'Carnet 2a.Fase'!G33</f>
        <v>UMBERTO</v>
      </c>
    </row>
    <row r="93" spans="1:11" ht="15" customHeight="1" thickBot="1">
      <c r="A93" s="68" t="str">
        <f>'Carnet 2a.Fase'!C32</f>
        <v>JOSÉ</v>
      </c>
      <c r="B93" s="69"/>
      <c r="C93" s="70" t="s">
        <v>193</v>
      </c>
      <c r="D93" s="69"/>
      <c r="E93" s="68" t="str">
        <f>'Carnet 2a.Fase'!F32</f>
        <v>RODRIGO B.</v>
      </c>
      <c r="G93" s="68" t="str">
        <f>'Carnet 2a.Fase'!C33</f>
        <v>PAIM</v>
      </c>
      <c r="H93" s="69"/>
      <c r="I93" s="70" t="s">
        <v>193</v>
      </c>
      <c r="J93" s="69"/>
      <c r="K93" s="68" t="str">
        <f>'Carnet 2a.Fase'!F33</f>
        <v>MICHEL</v>
      </c>
    </row>
    <row r="94" spans="1:11" ht="15" customHeight="1">
      <c r="A94" s="81"/>
      <c r="B94" s="82"/>
      <c r="D94" s="81"/>
      <c r="E94" s="82"/>
      <c r="G94" s="81"/>
      <c r="H94" s="82"/>
      <c r="I94" s="64"/>
      <c r="J94" s="81"/>
      <c r="K94" s="82"/>
    </row>
    <row r="95" spans="1:11" ht="15" customHeight="1">
      <c r="A95" s="83"/>
      <c r="B95" s="84"/>
      <c r="D95" s="83"/>
      <c r="E95" s="84"/>
      <c r="G95" s="83"/>
      <c r="H95" s="84"/>
      <c r="I95" s="64"/>
      <c r="J95" s="83"/>
      <c r="K95" s="84"/>
    </row>
    <row r="96" spans="1:11" ht="15" customHeight="1" thickBot="1">
      <c r="A96" s="85"/>
      <c r="B96" s="86"/>
      <c r="D96" s="85"/>
      <c r="E96" s="86"/>
      <c r="G96" s="85"/>
      <c r="H96" s="86"/>
      <c r="I96" s="64"/>
      <c r="J96" s="85"/>
      <c r="K96" s="86"/>
    </row>
    <row r="98" ht="15" customHeight="1" thickBot="1"/>
    <row r="99" spans="1:11" ht="15" customHeight="1" thickBot="1">
      <c r="A99" s="65" t="s">
        <v>229</v>
      </c>
      <c r="B99" s="78" t="s">
        <v>191</v>
      </c>
      <c r="C99" s="79"/>
      <c r="D99" s="80"/>
      <c r="E99" s="66" t="str">
        <f>'Carnet 2a.Fase'!G34</f>
        <v>TERROZO</v>
      </c>
      <c r="F99" s="67"/>
      <c r="G99" s="65" t="s">
        <v>203</v>
      </c>
      <c r="H99" s="78" t="s">
        <v>191</v>
      </c>
      <c r="I99" s="79"/>
      <c r="J99" s="80"/>
      <c r="K99" s="66" t="str">
        <f>'Carnet 2a.Fase'!G35</f>
        <v>FERNANDO</v>
      </c>
    </row>
    <row r="100" spans="1:11" ht="15" customHeight="1" thickBot="1">
      <c r="A100" s="68" t="str">
        <f>'Carnet 2a.Fase'!C34</f>
        <v>LEANDRINHO</v>
      </c>
      <c r="B100" s="69"/>
      <c r="C100" s="70" t="s">
        <v>193</v>
      </c>
      <c r="D100" s="69"/>
      <c r="E100" s="68" t="str">
        <f>'Carnet 2a.Fase'!F34</f>
        <v>ELIAS</v>
      </c>
      <c r="G100" s="68" t="str">
        <f>'Carnet 2a.Fase'!C35</f>
        <v>ROBSON</v>
      </c>
      <c r="H100" s="69"/>
      <c r="I100" s="70" t="s">
        <v>193</v>
      </c>
      <c r="J100" s="69"/>
      <c r="K100" s="68" t="str">
        <f>'Carnet 2a.Fase'!F35</f>
        <v>MARQUINHO</v>
      </c>
    </row>
    <row r="101" spans="1:11" ht="15" customHeight="1">
      <c r="A101" s="81"/>
      <c r="B101" s="82"/>
      <c r="D101" s="81"/>
      <c r="E101" s="82"/>
      <c r="G101" s="81"/>
      <c r="H101" s="82"/>
      <c r="I101" s="64"/>
      <c r="J101" s="81"/>
      <c r="K101" s="82"/>
    </row>
    <row r="102" spans="1:11" ht="15" customHeight="1">
      <c r="A102" s="83"/>
      <c r="B102" s="84"/>
      <c r="D102" s="83"/>
      <c r="E102" s="84"/>
      <c r="G102" s="83"/>
      <c r="H102" s="84"/>
      <c r="I102" s="64"/>
      <c r="J102" s="83"/>
      <c r="K102" s="84"/>
    </row>
    <row r="103" spans="1:11" ht="15" customHeight="1" thickBot="1">
      <c r="A103" s="85"/>
      <c r="B103" s="86"/>
      <c r="D103" s="85"/>
      <c r="E103" s="86"/>
      <c r="G103" s="85"/>
      <c r="H103" s="86"/>
      <c r="I103" s="64"/>
      <c r="J103" s="85"/>
      <c r="K103" s="86"/>
    </row>
    <row r="105" ht="15" customHeight="1" thickBot="1"/>
    <row r="106" spans="1:11" ht="15" customHeight="1" thickBot="1">
      <c r="A106" s="65" t="s">
        <v>227</v>
      </c>
      <c r="B106" s="78" t="s">
        <v>191</v>
      </c>
      <c r="C106" s="79"/>
      <c r="D106" s="80"/>
      <c r="E106" s="66" t="str">
        <f>'Carnet 2a.Fase'!G36</f>
        <v>THIAGO SCH.</v>
      </c>
      <c r="F106" s="67"/>
      <c r="G106" s="65" t="s">
        <v>205</v>
      </c>
      <c r="H106" s="78" t="s">
        <v>191</v>
      </c>
      <c r="I106" s="79"/>
      <c r="J106" s="80"/>
      <c r="K106" s="66" t="str">
        <f>'Carnet 2a.Fase'!G37</f>
        <v>SERGIO</v>
      </c>
    </row>
    <row r="107" spans="1:11" ht="15" customHeight="1" thickBot="1">
      <c r="A107" s="68" t="str">
        <f>'Carnet 2a.Fase'!C36</f>
        <v>OSMAR</v>
      </c>
      <c r="B107" s="69"/>
      <c r="C107" s="70" t="s">
        <v>193</v>
      </c>
      <c r="D107" s="69"/>
      <c r="E107" s="68" t="str">
        <f>'Carnet 2a.Fase'!F36</f>
        <v>LEÃO</v>
      </c>
      <c r="G107" s="68" t="str">
        <f>'Carnet 2a.Fase'!C37</f>
        <v>NILMAR</v>
      </c>
      <c r="H107" s="69"/>
      <c r="I107" s="70" t="s">
        <v>193</v>
      </c>
      <c r="J107" s="69"/>
      <c r="K107" s="68" t="str">
        <f>'Carnet 2a.Fase'!F37</f>
        <v>ALESSANDRO</v>
      </c>
    </row>
    <row r="108" spans="1:11" ht="15" customHeight="1">
      <c r="A108" s="81"/>
      <c r="B108" s="82"/>
      <c r="D108" s="81"/>
      <c r="E108" s="82"/>
      <c r="G108" s="81"/>
      <c r="H108" s="82"/>
      <c r="I108" s="64"/>
      <c r="J108" s="81"/>
      <c r="K108" s="82"/>
    </row>
    <row r="109" spans="1:11" ht="15" customHeight="1">
      <c r="A109" s="83"/>
      <c r="B109" s="84"/>
      <c r="D109" s="83"/>
      <c r="E109" s="84"/>
      <c r="G109" s="83"/>
      <c r="H109" s="84"/>
      <c r="I109" s="64"/>
      <c r="J109" s="83"/>
      <c r="K109" s="84"/>
    </row>
    <row r="110" spans="1:11" ht="15" customHeight="1" thickBot="1">
      <c r="A110" s="85"/>
      <c r="B110" s="86"/>
      <c r="D110" s="85"/>
      <c r="E110" s="86"/>
      <c r="G110" s="85"/>
      <c r="H110" s="86"/>
      <c r="I110" s="64"/>
      <c r="J110" s="85"/>
      <c r="K110" s="86"/>
    </row>
    <row r="112" ht="15" customHeight="1" thickBot="1"/>
    <row r="113" spans="1:11" ht="15" customHeight="1" thickBot="1">
      <c r="A113" s="65" t="s">
        <v>225</v>
      </c>
      <c r="B113" s="78" t="s">
        <v>191</v>
      </c>
      <c r="C113" s="79"/>
      <c r="D113" s="80"/>
      <c r="E113" s="66" t="str">
        <f>'Carnet 2a.Fase'!G38</f>
        <v>VICTOR</v>
      </c>
      <c r="F113" s="67"/>
      <c r="G113" s="65" t="s">
        <v>217</v>
      </c>
      <c r="H113" s="78" t="s">
        <v>191</v>
      </c>
      <c r="I113" s="79"/>
      <c r="J113" s="80"/>
      <c r="K113" s="66" t="str">
        <f>'Carnet 2a.Fase'!G39</f>
        <v>ITALO</v>
      </c>
    </row>
    <row r="114" spans="1:11" ht="15" customHeight="1" thickBot="1">
      <c r="A114" s="68" t="str">
        <f>'Carnet 2a.Fase'!C38</f>
        <v>SILVIO</v>
      </c>
      <c r="B114" s="69"/>
      <c r="C114" s="70" t="s">
        <v>193</v>
      </c>
      <c r="D114" s="69"/>
      <c r="E114" s="68" t="str">
        <f>'Carnet 2a.Fase'!F38</f>
        <v>ALDIR</v>
      </c>
      <c r="G114" s="68" t="str">
        <f>'Carnet 2a.Fase'!C39</f>
        <v>FELIPE</v>
      </c>
      <c r="H114" s="69"/>
      <c r="I114" s="70" t="s">
        <v>193</v>
      </c>
      <c r="J114" s="69"/>
      <c r="K114" s="68" t="str">
        <f>'Carnet 2a.Fase'!F39</f>
        <v>DIOGO MALLET</v>
      </c>
    </row>
    <row r="115" spans="1:11" ht="15" customHeight="1">
      <c r="A115" s="81"/>
      <c r="B115" s="82"/>
      <c r="D115" s="81"/>
      <c r="E115" s="82"/>
      <c r="G115" s="81"/>
      <c r="H115" s="82"/>
      <c r="I115" s="64"/>
      <c r="J115" s="81"/>
      <c r="K115" s="82"/>
    </row>
    <row r="116" spans="1:11" ht="15" customHeight="1">
      <c r="A116" s="83"/>
      <c r="B116" s="84"/>
      <c r="D116" s="83"/>
      <c r="E116" s="84"/>
      <c r="G116" s="83"/>
      <c r="H116" s="84"/>
      <c r="I116" s="64"/>
      <c r="J116" s="83"/>
      <c r="K116" s="84"/>
    </row>
    <row r="117" spans="1:11" ht="15" customHeight="1" thickBot="1">
      <c r="A117" s="85"/>
      <c r="B117" s="86"/>
      <c r="D117" s="85"/>
      <c r="E117" s="86"/>
      <c r="G117" s="85"/>
      <c r="H117" s="86"/>
      <c r="I117" s="64"/>
      <c r="J117" s="85"/>
      <c r="K117" s="86"/>
    </row>
    <row r="121" ht="15" customHeight="1" thickBot="1"/>
    <row r="122" spans="1:11" ht="15" customHeight="1" thickBot="1">
      <c r="A122" s="65" t="s">
        <v>208</v>
      </c>
      <c r="B122" s="78" t="s">
        <v>191</v>
      </c>
      <c r="C122" s="79"/>
      <c r="D122" s="80"/>
      <c r="E122" s="66" t="str">
        <f>'Carnet 2a.Fase'!G41</f>
        <v>PAULO</v>
      </c>
      <c r="F122" s="67"/>
      <c r="G122" s="65" t="s">
        <v>209</v>
      </c>
      <c r="H122" s="78" t="s">
        <v>191</v>
      </c>
      <c r="I122" s="79"/>
      <c r="J122" s="80"/>
      <c r="K122" s="66" t="str">
        <f>'Carnet 2a.Fase'!G42</f>
        <v>BETÃO</v>
      </c>
    </row>
    <row r="123" spans="1:11" ht="15" customHeight="1" thickBot="1">
      <c r="A123" s="68" t="str">
        <f>'Carnet 2a.Fase'!C41</f>
        <v>JOÃO GARIMA</v>
      </c>
      <c r="B123" s="69"/>
      <c r="C123" s="70" t="s">
        <v>193</v>
      </c>
      <c r="D123" s="69"/>
      <c r="E123" s="68" t="str">
        <f>'Carnet 2a.Fase'!F41</f>
        <v>SINVAL</v>
      </c>
      <c r="G123" s="68" t="str">
        <f>'Carnet 2a.Fase'!C42</f>
        <v>EMERSON</v>
      </c>
      <c r="H123" s="69"/>
      <c r="I123" s="70" t="s">
        <v>193</v>
      </c>
      <c r="J123" s="69"/>
      <c r="K123" s="68" t="str">
        <f>'Carnet 2a.Fase'!F42</f>
        <v>RUI</v>
      </c>
    </row>
    <row r="124" spans="1:11" ht="15" customHeight="1">
      <c r="A124" s="81"/>
      <c r="B124" s="82"/>
      <c r="D124" s="81"/>
      <c r="E124" s="82"/>
      <c r="G124" s="81"/>
      <c r="H124" s="82"/>
      <c r="I124" s="64"/>
      <c r="J124" s="81"/>
      <c r="K124" s="82"/>
    </row>
    <row r="125" spans="1:11" ht="15" customHeight="1">
      <c r="A125" s="83"/>
      <c r="B125" s="84"/>
      <c r="D125" s="83"/>
      <c r="E125" s="84"/>
      <c r="G125" s="83"/>
      <c r="H125" s="84"/>
      <c r="I125" s="64"/>
      <c r="J125" s="83"/>
      <c r="K125" s="84"/>
    </row>
    <row r="126" spans="1:11" ht="15" customHeight="1" thickBot="1">
      <c r="A126" s="85"/>
      <c r="B126" s="86"/>
      <c r="D126" s="85"/>
      <c r="E126" s="86"/>
      <c r="G126" s="85"/>
      <c r="H126" s="86"/>
      <c r="I126" s="64"/>
      <c r="J126" s="85"/>
      <c r="K126" s="86"/>
    </row>
    <row r="128" ht="15" customHeight="1" thickBot="1"/>
    <row r="129" spans="1:11" ht="15" customHeight="1" thickBot="1">
      <c r="A129" s="65" t="s">
        <v>210</v>
      </c>
      <c r="B129" s="78" t="s">
        <v>191</v>
      </c>
      <c r="C129" s="79"/>
      <c r="D129" s="80"/>
      <c r="E129" s="66" t="str">
        <f>'Carnet 2a.Fase'!G43</f>
        <v>CAJU</v>
      </c>
      <c r="F129" s="67"/>
      <c r="G129" s="65" t="s">
        <v>211</v>
      </c>
      <c r="H129" s="78" t="s">
        <v>191</v>
      </c>
      <c r="I129" s="79"/>
      <c r="J129" s="80"/>
      <c r="K129" s="66" t="str">
        <f>'Carnet 2a.Fase'!G44</f>
        <v>LUCIANO</v>
      </c>
    </row>
    <row r="130" spans="1:11" ht="15" customHeight="1" thickBot="1">
      <c r="A130" s="68" t="str">
        <f>'Carnet 2a.Fase'!C43</f>
        <v>PUFAL</v>
      </c>
      <c r="B130" s="69"/>
      <c r="C130" s="70" t="s">
        <v>193</v>
      </c>
      <c r="D130" s="69"/>
      <c r="E130" s="68" t="str">
        <f>'Carnet 2a.Fase'!F43</f>
        <v>ZILBER</v>
      </c>
      <c r="G130" s="68" t="str">
        <f>'Carnet 2a.Fase'!C44</f>
        <v>ALEX</v>
      </c>
      <c r="H130" s="69"/>
      <c r="I130" s="70" t="s">
        <v>193</v>
      </c>
      <c r="J130" s="69"/>
      <c r="K130" s="68" t="str">
        <f>'Carnet 2a.Fase'!F44</f>
        <v>JULINHO</v>
      </c>
    </row>
    <row r="131" spans="1:11" ht="15" customHeight="1">
      <c r="A131" s="81"/>
      <c r="B131" s="82"/>
      <c r="D131" s="81"/>
      <c r="E131" s="82"/>
      <c r="G131" s="81"/>
      <c r="H131" s="82"/>
      <c r="I131" s="64"/>
      <c r="J131" s="81"/>
      <c r="K131" s="82"/>
    </row>
    <row r="132" spans="1:11" ht="15" customHeight="1">
      <c r="A132" s="83"/>
      <c r="B132" s="84"/>
      <c r="D132" s="83"/>
      <c r="E132" s="84"/>
      <c r="G132" s="83"/>
      <c r="H132" s="84"/>
      <c r="I132" s="64"/>
      <c r="J132" s="83"/>
      <c r="K132" s="84"/>
    </row>
    <row r="133" spans="1:11" ht="15" customHeight="1" thickBot="1">
      <c r="A133" s="85"/>
      <c r="B133" s="86"/>
      <c r="D133" s="85"/>
      <c r="E133" s="86"/>
      <c r="G133" s="85"/>
      <c r="H133" s="86"/>
      <c r="I133" s="64"/>
      <c r="J133" s="85"/>
      <c r="K133" s="86"/>
    </row>
    <row r="135" ht="15" customHeight="1" thickBot="1"/>
    <row r="136" spans="1:11" ht="15" customHeight="1" thickBot="1">
      <c r="A136" s="65" t="s">
        <v>220</v>
      </c>
      <c r="B136" s="78" t="s">
        <v>191</v>
      </c>
      <c r="C136" s="79"/>
      <c r="D136" s="80"/>
      <c r="E136" s="66" t="str">
        <f>'Carnet 2a.Fase'!G45</f>
        <v>MARCOS JUNQ.</v>
      </c>
      <c r="F136" s="67"/>
      <c r="G136" s="65" t="s">
        <v>224</v>
      </c>
      <c r="H136" s="78" t="s">
        <v>191</v>
      </c>
      <c r="I136" s="79"/>
      <c r="J136" s="80"/>
      <c r="K136" s="66" t="str">
        <f>'Carnet 2a.Fase'!G46</f>
        <v>AUGUSTO</v>
      </c>
    </row>
    <row r="137" spans="1:11" ht="15" customHeight="1" thickBot="1">
      <c r="A137" s="68" t="str">
        <f>'Carnet 2a.Fase'!C45</f>
        <v>BRANDÃO</v>
      </c>
      <c r="B137" s="69"/>
      <c r="C137" s="70" t="s">
        <v>193</v>
      </c>
      <c r="D137" s="69"/>
      <c r="E137" s="68" t="str">
        <f>'Carnet 2a.Fase'!F45</f>
        <v>DUDA</v>
      </c>
      <c r="G137" s="68" t="str">
        <f>'Carnet 2a.Fase'!C46</f>
        <v>MALLET</v>
      </c>
      <c r="H137" s="69"/>
      <c r="I137" s="70" t="s">
        <v>193</v>
      </c>
      <c r="J137" s="69"/>
      <c r="K137" s="68" t="str">
        <f>'Carnet 2a.Fase'!F46</f>
        <v>JONI</v>
      </c>
    </row>
    <row r="138" spans="1:11" ht="15" customHeight="1">
      <c r="A138" s="81"/>
      <c r="B138" s="82"/>
      <c r="D138" s="81"/>
      <c r="E138" s="82"/>
      <c r="G138" s="81"/>
      <c r="H138" s="82"/>
      <c r="I138" s="64"/>
      <c r="J138" s="81"/>
      <c r="K138" s="82"/>
    </row>
    <row r="139" spans="1:11" ht="15" customHeight="1">
      <c r="A139" s="83"/>
      <c r="B139" s="84"/>
      <c r="D139" s="83"/>
      <c r="E139" s="84"/>
      <c r="G139" s="83"/>
      <c r="H139" s="84"/>
      <c r="I139" s="64"/>
      <c r="J139" s="83"/>
      <c r="K139" s="84"/>
    </row>
    <row r="140" spans="1:11" ht="15" customHeight="1" thickBot="1">
      <c r="A140" s="85"/>
      <c r="B140" s="86"/>
      <c r="D140" s="85"/>
      <c r="E140" s="86"/>
      <c r="G140" s="85"/>
      <c r="H140" s="86"/>
      <c r="I140" s="64"/>
      <c r="J140" s="85"/>
      <c r="K140" s="86"/>
    </row>
    <row r="142" ht="15" customHeight="1" thickBot="1"/>
    <row r="143" spans="1:11" ht="15" customHeight="1" thickBot="1">
      <c r="A143" s="65" t="s">
        <v>214</v>
      </c>
      <c r="B143" s="78" t="s">
        <v>191</v>
      </c>
      <c r="C143" s="79"/>
      <c r="D143" s="80"/>
      <c r="E143" s="66" t="str">
        <f>'Carnet 2a.Fase'!G47</f>
        <v>MARCOS ANT.</v>
      </c>
      <c r="F143" s="67"/>
      <c r="G143" s="65" t="s">
        <v>230</v>
      </c>
      <c r="H143" s="78" t="s">
        <v>191</v>
      </c>
      <c r="I143" s="79"/>
      <c r="J143" s="80"/>
      <c r="K143" s="66" t="str">
        <f>'Carnet 2a.Fase'!G48</f>
        <v>AZAMBUJA</v>
      </c>
    </row>
    <row r="144" spans="1:11" ht="15" customHeight="1" thickBot="1">
      <c r="A144" s="68" t="str">
        <f>'Carnet 2a.Fase'!C47</f>
        <v>BRENO</v>
      </c>
      <c r="B144" s="69"/>
      <c r="C144" s="70" t="s">
        <v>193</v>
      </c>
      <c r="D144" s="69"/>
      <c r="E144" s="68" t="str">
        <f>'Carnet 2a.Fase'!F47</f>
        <v>VINICIUS</v>
      </c>
      <c r="G144" s="68" t="str">
        <f>'Carnet 2a.Fase'!C48</f>
        <v>VINHAS</v>
      </c>
      <c r="H144" s="69"/>
      <c r="I144" s="70" t="s">
        <v>193</v>
      </c>
      <c r="J144" s="69"/>
      <c r="K144" s="68" t="str">
        <f>'Carnet 2a.Fase'!F48</f>
        <v>ELISANDRO</v>
      </c>
    </row>
    <row r="145" spans="1:11" ht="15" customHeight="1">
      <c r="A145" s="81"/>
      <c r="B145" s="82"/>
      <c r="D145" s="81"/>
      <c r="E145" s="82"/>
      <c r="G145" s="81"/>
      <c r="H145" s="82"/>
      <c r="I145" s="64"/>
      <c r="J145" s="81"/>
      <c r="K145" s="82"/>
    </row>
    <row r="146" spans="1:11" ht="15" customHeight="1">
      <c r="A146" s="83"/>
      <c r="B146" s="84"/>
      <c r="D146" s="83"/>
      <c r="E146" s="84"/>
      <c r="G146" s="83"/>
      <c r="H146" s="84"/>
      <c r="I146" s="64"/>
      <c r="J146" s="83"/>
      <c r="K146" s="84"/>
    </row>
    <row r="147" spans="1:11" ht="15" customHeight="1" thickBot="1">
      <c r="A147" s="85"/>
      <c r="B147" s="86"/>
      <c r="D147" s="85"/>
      <c r="E147" s="86"/>
      <c r="G147" s="85"/>
      <c r="H147" s="86"/>
      <c r="I147" s="64"/>
      <c r="J147" s="85"/>
      <c r="K147" s="86"/>
    </row>
    <row r="151" ht="15" customHeight="1" thickBot="1"/>
    <row r="152" spans="1:11" ht="15" customHeight="1" thickBot="1">
      <c r="A152" s="65" t="s">
        <v>200</v>
      </c>
      <c r="B152" s="78" t="s">
        <v>191</v>
      </c>
      <c r="C152" s="79"/>
      <c r="D152" s="80"/>
      <c r="E152" s="66" t="str">
        <f>'Carnet 2a.Fase'!G49</f>
        <v>DANI</v>
      </c>
      <c r="F152" s="67"/>
      <c r="G152" s="65" t="s">
        <v>201</v>
      </c>
      <c r="H152" s="78" t="s">
        <v>191</v>
      </c>
      <c r="I152" s="79"/>
      <c r="J152" s="80"/>
      <c r="K152" s="66" t="str">
        <f>'Carnet 2a.Fase'!G50</f>
        <v>KEVIN</v>
      </c>
    </row>
    <row r="153" spans="1:11" ht="15" customHeight="1" thickBot="1">
      <c r="A153" s="68" t="str">
        <f>'Carnet 2a.Fase'!C49</f>
        <v>RODRIGO B.</v>
      </c>
      <c r="B153" s="69"/>
      <c r="C153" s="70" t="s">
        <v>193</v>
      </c>
      <c r="D153" s="69"/>
      <c r="E153" s="68" t="str">
        <f>'Carnet 2a.Fase'!F49</f>
        <v>MICHEL</v>
      </c>
      <c r="G153" s="68" t="str">
        <f>'Carnet 2a.Fase'!C50</f>
        <v>JOSÉ</v>
      </c>
      <c r="H153" s="69"/>
      <c r="I153" s="70" t="s">
        <v>193</v>
      </c>
      <c r="J153" s="69"/>
      <c r="K153" s="68" t="str">
        <f>'Carnet 2a.Fase'!F50</f>
        <v>PAIM</v>
      </c>
    </row>
    <row r="154" spans="1:11" ht="15" customHeight="1">
      <c r="A154" s="81"/>
      <c r="B154" s="82"/>
      <c r="D154" s="81"/>
      <c r="E154" s="82"/>
      <c r="G154" s="81"/>
      <c r="H154" s="82"/>
      <c r="I154" s="64"/>
      <c r="J154" s="81"/>
      <c r="K154" s="82"/>
    </row>
    <row r="155" spans="1:11" ht="15" customHeight="1">
      <c r="A155" s="83"/>
      <c r="B155" s="84"/>
      <c r="D155" s="83"/>
      <c r="E155" s="84"/>
      <c r="G155" s="83"/>
      <c r="H155" s="84"/>
      <c r="I155" s="64"/>
      <c r="J155" s="83"/>
      <c r="K155" s="84"/>
    </row>
    <row r="156" spans="1:11" ht="15" customHeight="1" thickBot="1">
      <c r="A156" s="85"/>
      <c r="B156" s="86"/>
      <c r="D156" s="85"/>
      <c r="E156" s="86"/>
      <c r="G156" s="85"/>
      <c r="H156" s="86"/>
      <c r="I156" s="64"/>
      <c r="J156" s="85"/>
      <c r="K156" s="86"/>
    </row>
    <row r="158" ht="15" customHeight="1" thickBot="1"/>
    <row r="159" spans="1:11" ht="15" customHeight="1" thickBot="1">
      <c r="A159" s="65" t="s">
        <v>229</v>
      </c>
      <c r="B159" s="78" t="s">
        <v>191</v>
      </c>
      <c r="C159" s="79"/>
      <c r="D159" s="80"/>
      <c r="E159" s="66" t="str">
        <f>'Carnet 2a.Fase'!G51</f>
        <v>ROGÉRIO FEIJÓ</v>
      </c>
      <c r="F159" s="67"/>
      <c r="G159" s="65" t="s">
        <v>216</v>
      </c>
      <c r="H159" s="78" t="s">
        <v>191</v>
      </c>
      <c r="I159" s="79"/>
      <c r="J159" s="80"/>
      <c r="K159" s="66" t="str">
        <f>'Carnet 2a.Fase'!G52</f>
        <v>LEANDRO</v>
      </c>
    </row>
    <row r="160" spans="1:11" ht="15" customHeight="1" thickBot="1">
      <c r="A160" s="68" t="str">
        <f>'Carnet 2a.Fase'!C51</f>
        <v>ELIAS</v>
      </c>
      <c r="B160" s="69"/>
      <c r="C160" s="70" t="s">
        <v>193</v>
      </c>
      <c r="D160" s="69"/>
      <c r="E160" s="68" t="str">
        <f>'Carnet 2a.Fase'!F51</f>
        <v>MARQUINHO</v>
      </c>
      <c r="G160" s="68" t="str">
        <f>'Carnet 2a.Fase'!C52</f>
        <v>LEANDRINHO</v>
      </c>
      <c r="H160" s="69"/>
      <c r="I160" s="70" t="s">
        <v>193</v>
      </c>
      <c r="J160" s="69"/>
      <c r="K160" s="68" t="str">
        <f>'Carnet 2a.Fase'!F52</f>
        <v>ROBSON</v>
      </c>
    </row>
    <row r="161" spans="1:11" ht="15" customHeight="1">
      <c r="A161" s="81"/>
      <c r="B161" s="82"/>
      <c r="D161" s="81"/>
      <c r="E161" s="82"/>
      <c r="G161" s="81"/>
      <c r="H161" s="82"/>
      <c r="I161" s="64"/>
      <c r="J161" s="81"/>
      <c r="K161" s="82"/>
    </row>
    <row r="162" spans="1:11" ht="15" customHeight="1">
      <c r="A162" s="83"/>
      <c r="B162" s="84"/>
      <c r="D162" s="83"/>
      <c r="E162" s="84"/>
      <c r="G162" s="83"/>
      <c r="H162" s="84"/>
      <c r="I162" s="64"/>
      <c r="J162" s="83"/>
      <c r="K162" s="84"/>
    </row>
    <row r="163" spans="1:11" ht="15" customHeight="1" thickBot="1">
      <c r="A163" s="85"/>
      <c r="B163" s="86"/>
      <c r="D163" s="85"/>
      <c r="E163" s="86"/>
      <c r="G163" s="85"/>
      <c r="H163" s="86"/>
      <c r="I163" s="64"/>
      <c r="J163" s="85"/>
      <c r="K163" s="86"/>
    </row>
    <row r="165" ht="15" customHeight="1" thickBot="1"/>
    <row r="166" spans="1:11" ht="15" customHeight="1" thickBot="1">
      <c r="A166" s="65" t="s">
        <v>204</v>
      </c>
      <c r="B166" s="78" t="s">
        <v>191</v>
      </c>
      <c r="C166" s="79"/>
      <c r="D166" s="80"/>
      <c r="E166" s="66" t="str">
        <f>'Carnet 2a.Fase'!G53</f>
        <v>EDISON</v>
      </c>
      <c r="F166" s="67"/>
      <c r="G166" s="65" t="s">
        <v>222</v>
      </c>
      <c r="H166" s="78" t="s">
        <v>191</v>
      </c>
      <c r="I166" s="79"/>
      <c r="J166" s="80"/>
      <c r="K166" s="66" t="str">
        <f>'Carnet 2a.Fase'!G54</f>
        <v>SANDRO</v>
      </c>
    </row>
    <row r="167" spans="1:11" ht="15" customHeight="1" thickBot="1">
      <c r="A167" s="68" t="str">
        <f>'Carnet 2a.Fase'!C53</f>
        <v>LEÃO</v>
      </c>
      <c r="B167" s="69"/>
      <c r="C167" s="70" t="s">
        <v>193</v>
      </c>
      <c r="D167" s="69"/>
      <c r="E167" s="68" t="str">
        <f>'Carnet 2a.Fase'!F53</f>
        <v>ALESSANDRO</v>
      </c>
      <c r="G167" s="68" t="str">
        <f>'Carnet 2a.Fase'!C54</f>
        <v>OSMAR</v>
      </c>
      <c r="H167" s="69"/>
      <c r="I167" s="70" t="s">
        <v>193</v>
      </c>
      <c r="J167" s="69"/>
      <c r="K167" s="68" t="str">
        <f>'Carnet 2a.Fase'!F54</f>
        <v>NILMAR</v>
      </c>
    </row>
    <row r="168" spans="1:11" ht="15" customHeight="1">
      <c r="A168" s="81"/>
      <c r="B168" s="82"/>
      <c r="D168" s="81"/>
      <c r="E168" s="82"/>
      <c r="G168" s="81"/>
      <c r="H168" s="82"/>
      <c r="I168" s="64"/>
      <c r="J168" s="81"/>
      <c r="K168" s="82"/>
    </row>
    <row r="169" spans="1:11" ht="15" customHeight="1">
      <c r="A169" s="83"/>
      <c r="B169" s="84"/>
      <c r="D169" s="83"/>
      <c r="E169" s="84"/>
      <c r="G169" s="83"/>
      <c r="H169" s="84"/>
      <c r="I169" s="64"/>
      <c r="J169" s="83"/>
      <c r="K169" s="84"/>
    </row>
    <row r="170" spans="1:11" ht="15" customHeight="1" thickBot="1">
      <c r="A170" s="85"/>
      <c r="B170" s="86"/>
      <c r="D170" s="85"/>
      <c r="E170" s="86"/>
      <c r="G170" s="85"/>
      <c r="H170" s="86"/>
      <c r="I170" s="64"/>
      <c r="J170" s="85"/>
      <c r="K170" s="86"/>
    </row>
    <row r="172" ht="15" customHeight="1" thickBot="1"/>
    <row r="173" spans="1:11" ht="15" customHeight="1" thickBot="1">
      <c r="A173" s="65" t="s">
        <v>206</v>
      </c>
      <c r="B173" s="78" t="s">
        <v>191</v>
      </c>
      <c r="C173" s="79"/>
      <c r="D173" s="80"/>
      <c r="E173" s="66" t="str">
        <f>'Carnet 2a.Fase'!G55</f>
        <v>MATEUS</v>
      </c>
      <c r="F173" s="67"/>
      <c r="G173" s="65" t="s">
        <v>217</v>
      </c>
      <c r="H173" s="78" t="s">
        <v>191</v>
      </c>
      <c r="I173" s="79"/>
      <c r="J173" s="80"/>
      <c r="K173" s="66" t="str">
        <f>'Carnet 2a.Fase'!G56</f>
        <v>ROGÉRIO HAR.</v>
      </c>
    </row>
    <row r="174" spans="1:11" ht="15" customHeight="1" thickBot="1">
      <c r="A174" s="68" t="str">
        <f>'Carnet 2a.Fase'!C55</f>
        <v>ALDIR</v>
      </c>
      <c r="B174" s="69"/>
      <c r="C174" s="70" t="s">
        <v>193</v>
      </c>
      <c r="D174" s="69"/>
      <c r="E174" s="68" t="str">
        <f>'Carnet 2a.Fase'!F55</f>
        <v>DIOGO MALLET</v>
      </c>
      <c r="G174" s="68" t="str">
        <f>'Carnet 2a.Fase'!C56</f>
        <v>SILVIO</v>
      </c>
      <c r="H174" s="69"/>
      <c r="I174" s="70" t="s">
        <v>193</v>
      </c>
      <c r="J174" s="69"/>
      <c r="K174" s="68" t="str">
        <f>'Carnet 2a.Fase'!F56</f>
        <v>FELIPE</v>
      </c>
    </row>
    <row r="175" spans="1:11" ht="15" customHeight="1">
      <c r="A175" s="81"/>
      <c r="B175" s="82"/>
      <c r="D175" s="81"/>
      <c r="E175" s="82"/>
      <c r="G175" s="81"/>
      <c r="H175" s="82"/>
      <c r="I175" s="64"/>
      <c r="J175" s="81"/>
      <c r="K175" s="82"/>
    </row>
    <row r="176" spans="1:11" ht="15" customHeight="1">
      <c r="A176" s="83"/>
      <c r="B176" s="84"/>
      <c r="D176" s="83"/>
      <c r="E176" s="84"/>
      <c r="G176" s="83"/>
      <c r="H176" s="84"/>
      <c r="I176" s="64"/>
      <c r="J176" s="83"/>
      <c r="K176" s="84"/>
    </row>
    <row r="177" spans="1:11" ht="15" customHeight="1" thickBot="1">
      <c r="A177" s="85"/>
      <c r="B177" s="86"/>
      <c r="D177" s="85"/>
      <c r="E177" s="86"/>
      <c r="G177" s="85"/>
      <c r="H177" s="86"/>
      <c r="I177" s="64"/>
      <c r="J177" s="85"/>
      <c r="K177" s="86"/>
    </row>
  </sheetData>
  <sheetProtection/>
  <printOptions/>
  <pageMargins left="0.7" right="0.56" top="0.984251969" bottom="0.984251969" header="0.492125985" footer="0.492125985"/>
  <pageSetup horizontalDpi="300" verticalDpi="300" orientation="landscape" paperSize="9" r:id="rId1"/>
  <headerFooter alignWithMargins="0">
    <oddHeader>&amp;L&amp;"Arial,Negrito"&amp;12ESTADUAL ESPECIAL/&amp;C&amp;"Arial,Negrito"&amp;12 2 ª FASE&amp;R&amp;"Arial,Negrito"&amp;12____ª RODADA</oddHeader>
  </headerFooter>
  <rowBreaks count="4" manualBreakCount="4">
    <brk id="60" max="65535" man="1"/>
    <brk id="90" max="65535" man="1"/>
    <brk id="120" max="65535" man="1"/>
    <brk id="150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K11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0" customWidth="1"/>
    <col min="2" max="2" width="5.7109375" style="0" customWidth="1"/>
    <col min="3" max="3" width="2.00390625" style="64" customWidth="1"/>
    <col min="4" max="4" width="5.7109375" style="0" customWidth="1"/>
    <col min="5" max="5" width="22.7109375" style="0" customWidth="1"/>
    <col min="7" max="7" width="22.7109375" style="0" customWidth="1"/>
    <col min="8" max="8" width="5.7109375" style="0" customWidth="1"/>
    <col min="9" max="9" width="2.00390625" style="0" customWidth="1"/>
    <col min="10" max="10" width="5.7109375" style="0" customWidth="1"/>
    <col min="11" max="11" width="22.7109375" style="0" customWidth="1"/>
  </cols>
  <sheetData>
    <row r="1" ht="15" customHeight="1" thickBot="1"/>
    <row r="2" spans="1:11" s="67" customFormat="1" ht="15" customHeight="1" thickBot="1">
      <c r="A2" s="65" t="s">
        <v>231</v>
      </c>
      <c r="B2" s="78" t="s">
        <v>191</v>
      </c>
      <c r="C2" s="79"/>
      <c r="D2" s="80"/>
      <c r="E2" s="66" t="str">
        <f>'Carnet 3a.Fase'!G7</f>
        <v>PUFAL</v>
      </c>
      <c r="G2" s="65" t="s">
        <v>219</v>
      </c>
      <c r="H2" s="78" t="s">
        <v>191</v>
      </c>
      <c r="I2" s="79"/>
      <c r="J2" s="80"/>
      <c r="K2" s="66" t="str">
        <f>'Carnet 3a.Fase'!G8</f>
        <v>SINVAL</v>
      </c>
    </row>
    <row r="3" spans="1:11" ht="15.75" customHeight="1" thickBot="1">
      <c r="A3" s="68" t="str">
        <f>'Carnet 3a.Fase'!C7</f>
        <v>SILVIO</v>
      </c>
      <c r="B3" s="69"/>
      <c r="C3" s="70" t="s">
        <v>193</v>
      </c>
      <c r="D3" s="69"/>
      <c r="E3" s="68" t="str">
        <f>'Carnet 3a.Fase'!F7</f>
        <v>FELIPE</v>
      </c>
      <c r="G3" s="68" t="str">
        <f>'Carnet 3a.Fase'!C8</f>
        <v>ROBSON</v>
      </c>
      <c r="H3" s="69"/>
      <c r="I3" s="70" t="s">
        <v>193</v>
      </c>
      <c r="J3" s="69"/>
      <c r="K3" s="68" t="str">
        <f>'Carnet 3a.Fase'!F8</f>
        <v>BRANDÃO</v>
      </c>
    </row>
    <row r="4" spans="1:11" ht="15" customHeight="1">
      <c r="A4" s="81"/>
      <c r="B4" s="82"/>
      <c r="D4" s="81"/>
      <c r="E4" s="82"/>
      <c r="G4" s="81"/>
      <c r="H4" s="82"/>
      <c r="I4" s="64"/>
      <c r="J4" s="81"/>
      <c r="K4" s="82"/>
    </row>
    <row r="5" spans="1:11" ht="15" customHeight="1">
      <c r="A5" s="83"/>
      <c r="B5" s="84"/>
      <c r="D5" s="83"/>
      <c r="E5" s="84"/>
      <c r="G5" s="83"/>
      <c r="H5" s="84"/>
      <c r="I5" s="64"/>
      <c r="J5" s="83"/>
      <c r="K5" s="84"/>
    </row>
    <row r="6" spans="1:11" ht="15" customHeight="1" thickBot="1">
      <c r="A6" s="85"/>
      <c r="B6" s="86"/>
      <c r="D6" s="85"/>
      <c r="E6" s="86"/>
      <c r="G6" s="85"/>
      <c r="H6" s="86"/>
      <c r="I6" s="64"/>
      <c r="J6" s="85"/>
      <c r="K6" s="86"/>
    </row>
    <row r="8" ht="15" customHeight="1" thickBot="1"/>
    <row r="9" spans="1:11" s="67" customFormat="1" ht="15" customHeight="1" thickBot="1">
      <c r="A9" s="65" t="s">
        <v>210</v>
      </c>
      <c r="B9" s="78" t="s">
        <v>191</v>
      </c>
      <c r="C9" s="79"/>
      <c r="D9" s="80"/>
      <c r="E9" s="66" t="str">
        <f>'Carnet 3a.Fase'!G9</f>
        <v>BRENO</v>
      </c>
      <c r="G9" s="65" t="s">
        <v>211</v>
      </c>
      <c r="H9" s="78" t="s">
        <v>191</v>
      </c>
      <c r="I9" s="79"/>
      <c r="J9" s="80"/>
      <c r="K9" s="66" t="str">
        <f>'Carnet 3a.Fase'!G10</f>
        <v>MICHEL</v>
      </c>
    </row>
    <row r="10" spans="1:11" ht="15.75" customHeight="1" thickBot="1">
      <c r="A10" s="68" t="str">
        <f>'Carnet 3a.Fase'!C9</f>
        <v>ALESSANDRO</v>
      </c>
      <c r="B10" s="69"/>
      <c r="C10" s="70" t="s">
        <v>193</v>
      </c>
      <c r="D10" s="69"/>
      <c r="E10" s="68" t="str">
        <f>'Carnet 3a.Fase'!F9</f>
        <v>JOSÉ</v>
      </c>
      <c r="G10" s="68" t="str">
        <f>'Carnet 3a.Fase'!C10</f>
        <v>VINÍCIUS</v>
      </c>
      <c r="H10" s="69"/>
      <c r="I10" s="70" t="s">
        <v>193</v>
      </c>
      <c r="J10" s="69"/>
      <c r="K10" s="68" t="str">
        <f>'Carnet 3a.Fase'!F10</f>
        <v>LEANDRINHO</v>
      </c>
    </row>
    <row r="11" spans="1:11" ht="15" customHeight="1">
      <c r="A11" s="81"/>
      <c r="B11" s="82"/>
      <c r="D11" s="81"/>
      <c r="E11" s="82"/>
      <c r="G11" s="81"/>
      <c r="H11" s="82"/>
      <c r="I11" s="64"/>
      <c r="J11" s="81"/>
      <c r="K11" s="82"/>
    </row>
    <row r="12" spans="1:11" ht="15" customHeight="1">
      <c r="A12" s="83"/>
      <c r="B12" s="84"/>
      <c r="D12" s="83"/>
      <c r="E12" s="84"/>
      <c r="G12" s="83"/>
      <c r="H12" s="84"/>
      <c r="I12" s="64"/>
      <c r="J12" s="83"/>
      <c r="K12" s="84"/>
    </row>
    <row r="13" spans="1:11" ht="15" customHeight="1" thickBot="1">
      <c r="A13" s="85"/>
      <c r="B13" s="86"/>
      <c r="D13" s="85"/>
      <c r="E13" s="86"/>
      <c r="G13" s="85"/>
      <c r="H13" s="86"/>
      <c r="I13" s="64"/>
      <c r="J13" s="85"/>
      <c r="K13" s="86"/>
    </row>
    <row r="15" ht="15" customHeight="1" thickBot="1"/>
    <row r="16" spans="1:11" s="67" customFormat="1" ht="15" customHeight="1" thickBot="1">
      <c r="A16" s="65" t="s">
        <v>220</v>
      </c>
      <c r="B16" s="78" t="s">
        <v>191</v>
      </c>
      <c r="C16" s="79"/>
      <c r="D16" s="80"/>
      <c r="E16" s="66" t="str">
        <f>'Carnet 3a.Fase'!G11</f>
        <v>MARQUINHO</v>
      </c>
      <c r="G16" s="65" t="s">
        <v>224</v>
      </c>
      <c r="H16" s="78" t="s">
        <v>191</v>
      </c>
      <c r="I16" s="79"/>
      <c r="J16" s="80"/>
      <c r="K16" s="66" t="str">
        <f>'Carnet 3a.Fase'!G12</f>
        <v>MALLET</v>
      </c>
    </row>
    <row r="17" spans="1:11" ht="15.75" customHeight="1" thickBot="1">
      <c r="A17" s="68" t="str">
        <f>'Carnet 3a.Fase'!C11</f>
        <v>ALEX</v>
      </c>
      <c r="B17" s="69"/>
      <c r="C17" s="70" t="s">
        <v>193</v>
      </c>
      <c r="D17" s="69"/>
      <c r="E17" s="68" t="str">
        <f>'Carnet 3a.Fase'!F11</f>
        <v>JONI</v>
      </c>
      <c r="G17" s="68" t="str">
        <f>'Carnet 3a.Fase'!C12</f>
        <v>EMERSON</v>
      </c>
      <c r="H17" s="69"/>
      <c r="I17" s="70" t="s">
        <v>193</v>
      </c>
      <c r="J17" s="69"/>
      <c r="K17" s="68" t="str">
        <f>'Carnet 3a.Fase'!F12</f>
        <v>NILMAR</v>
      </c>
    </row>
    <row r="18" spans="1:11" ht="15" customHeight="1">
      <c r="A18" s="81"/>
      <c r="B18" s="82"/>
      <c r="D18" s="81"/>
      <c r="E18" s="82"/>
      <c r="G18" s="81"/>
      <c r="H18" s="82"/>
      <c r="I18" s="64"/>
      <c r="J18" s="81"/>
      <c r="K18" s="82"/>
    </row>
    <row r="19" spans="1:11" ht="15" customHeight="1">
      <c r="A19" s="83"/>
      <c r="B19" s="84"/>
      <c r="D19" s="83"/>
      <c r="E19" s="84"/>
      <c r="G19" s="83"/>
      <c r="H19" s="84"/>
      <c r="I19" s="64"/>
      <c r="J19" s="83"/>
      <c r="K19" s="84"/>
    </row>
    <row r="20" spans="1:11" ht="15" customHeight="1" thickBot="1">
      <c r="A20" s="85"/>
      <c r="B20" s="86"/>
      <c r="D20" s="85"/>
      <c r="E20" s="86"/>
      <c r="G20" s="85"/>
      <c r="H20" s="86"/>
      <c r="I20" s="64"/>
      <c r="J20" s="85"/>
      <c r="K20" s="86"/>
    </row>
    <row r="22" ht="15" customHeight="1" thickBot="1"/>
    <row r="23" spans="1:11" s="67" customFormat="1" ht="15" customHeight="1" thickBot="1">
      <c r="A23" s="65" t="s">
        <v>214</v>
      </c>
      <c r="B23" s="78" t="s">
        <v>191</v>
      </c>
      <c r="C23" s="79"/>
      <c r="D23" s="80"/>
      <c r="E23" s="66" t="str">
        <f>'Carnet 3a.Fase'!G13</f>
        <v>OSMAR</v>
      </c>
      <c r="G23" s="65" t="s">
        <v>199</v>
      </c>
      <c r="H23" s="78" t="s">
        <v>191</v>
      </c>
      <c r="I23" s="79"/>
      <c r="J23" s="80"/>
      <c r="K23" s="66" t="str">
        <f>'Carnet 3a.Fase'!G14</f>
        <v>DIOGO MALLET</v>
      </c>
    </row>
    <row r="24" spans="1:11" ht="15.75" customHeight="1" thickBot="1">
      <c r="A24" s="68" t="str">
        <f>'Carnet 3a.Fase'!C13</f>
        <v>ZILBER</v>
      </c>
      <c r="B24" s="69"/>
      <c r="C24" s="70" t="s">
        <v>193</v>
      </c>
      <c r="D24" s="69"/>
      <c r="E24" s="68" t="str">
        <f>'Carnet 3a.Fase'!F13</f>
        <v>JOÃO GARIMA</v>
      </c>
      <c r="G24" s="68" t="str">
        <f>'Carnet 3a.Fase'!C14</f>
        <v>ELISANDRO</v>
      </c>
      <c r="H24" s="69"/>
      <c r="I24" s="70" t="s">
        <v>193</v>
      </c>
      <c r="J24" s="69"/>
      <c r="K24" s="68" t="str">
        <f>'Carnet 3a.Fase'!F14</f>
        <v>PAIM</v>
      </c>
    </row>
    <row r="25" spans="1:11" ht="15" customHeight="1">
      <c r="A25" s="81"/>
      <c r="B25" s="82"/>
      <c r="D25" s="81"/>
      <c r="E25" s="82"/>
      <c r="G25" s="81"/>
      <c r="H25" s="82"/>
      <c r="I25" s="64"/>
      <c r="J25" s="81"/>
      <c r="K25" s="82"/>
    </row>
    <row r="26" spans="1:11" ht="15" customHeight="1">
      <c r="A26" s="83"/>
      <c r="B26" s="84"/>
      <c r="D26" s="83"/>
      <c r="E26" s="84"/>
      <c r="G26" s="83"/>
      <c r="H26" s="84"/>
      <c r="I26" s="64"/>
      <c r="J26" s="83"/>
      <c r="K26" s="84"/>
    </row>
    <row r="27" spans="1:11" ht="15" customHeight="1" thickBot="1">
      <c r="A27" s="85"/>
      <c r="B27" s="86"/>
      <c r="D27" s="85"/>
      <c r="E27" s="86"/>
      <c r="G27" s="85"/>
      <c r="H27" s="86"/>
      <c r="I27" s="64"/>
      <c r="J27" s="85"/>
      <c r="K27" s="86"/>
    </row>
    <row r="31" ht="15" customHeight="1" thickBot="1"/>
    <row r="32" spans="1:11" ht="15" customHeight="1" thickBot="1">
      <c r="A32" s="65" t="s">
        <v>208</v>
      </c>
      <c r="B32" s="78" t="s">
        <v>191</v>
      </c>
      <c r="C32" s="79"/>
      <c r="D32" s="80"/>
      <c r="E32" s="66" t="str">
        <f>'Carnet 3a.Fase'!G16</f>
        <v>RODRIGO B.</v>
      </c>
      <c r="F32" s="67"/>
      <c r="G32" s="65" t="s">
        <v>209</v>
      </c>
      <c r="H32" s="78" t="s">
        <v>191</v>
      </c>
      <c r="I32" s="79"/>
      <c r="J32" s="80"/>
      <c r="K32" s="66" t="str">
        <f>'Carnet 3a.Fase'!G17</f>
        <v>RUI</v>
      </c>
    </row>
    <row r="33" spans="1:11" ht="15" customHeight="1" thickBot="1">
      <c r="A33" s="68" t="str">
        <f>'Carnet 3a.Fase'!C16</f>
        <v>BRANDÃO</v>
      </c>
      <c r="B33" s="69"/>
      <c r="C33" s="70" t="s">
        <v>193</v>
      </c>
      <c r="D33" s="69"/>
      <c r="E33" s="68" t="str">
        <f>'Carnet 3a.Fase'!F16</f>
        <v>SILVIO</v>
      </c>
      <c r="G33" s="68" t="str">
        <f>'Carnet 3a.Fase'!C17</f>
        <v>FELIPE</v>
      </c>
      <c r="H33" s="69"/>
      <c r="I33" s="70" t="s">
        <v>193</v>
      </c>
      <c r="J33" s="69"/>
      <c r="K33" s="68" t="str">
        <f>'Carnet 3a.Fase'!F17</f>
        <v>ROBSON</v>
      </c>
    </row>
    <row r="34" spans="1:11" ht="15" customHeight="1">
      <c r="A34" s="81"/>
      <c r="B34" s="82"/>
      <c r="D34" s="81"/>
      <c r="E34" s="82"/>
      <c r="G34" s="81"/>
      <c r="H34" s="82"/>
      <c r="I34" s="64"/>
      <c r="J34" s="81"/>
      <c r="K34" s="82"/>
    </row>
    <row r="35" spans="1:11" ht="15" customHeight="1">
      <c r="A35" s="83"/>
      <c r="B35" s="84"/>
      <c r="D35" s="83"/>
      <c r="E35" s="84"/>
      <c r="G35" s="83"/>
      <c r="H35" s="84"/>
      <c r="I35" s="64"/>
      <c r="J35" s="83"/>
      <c r="K35" s="84"/>
    </row>
    <row r="36" spans="1:11" ht="15" customHeight="1" thickBot="1">
      <c r="A36" s="85"/>
      <c r="B36" s="86"/>
      <c r="D36" s="85"/>
      <c r="E36" s="86"/>
      <c r="G36" s="85"/>
      <c r="H36" s="86"/>
      <c r="I36" s="64"/>
      <c r="J36" s="85"/>
      <c r="K36" s="86"/>
    </row>
    <row r="38" ht="15" customHeight="1" thickBot="1"/>
    <row r="39" spans="1:11" ht="15" customHeight="1" thickBot="1">
      <c r="A39" s="65" t="s">
        <v>210</v>
      </c>
      <c r="B39" s="78" t="s">
        <v>191</v>
      </c>
      <c r="C39" s="79"/>
      <c r="D39" s="80"/>
      <c r="E39" s="66" t="str">
        <f>'Carnet 3a.Fase'!G18</f>
        <v>ELIAS</v>
      </c>
      <c r="F39" s="67"/>
      <c r="G39" s="65" t="s">
        <v>211</v>
      </c>
      <c r="H39" s="78" t="s">
        <v>191</v>
      </c>
      <c r="I39" s="79"/>
      <c r="J39" s="80"/>
      <c r="K39" s="66" t="str">
        <f>'Carnet 3a.Fase'!G19</f>
        <v>JULINHO</v>
      </c>
    </row>
    <row r="40" spans="1:11" ht="15" customHeight="1" thickBot="1">
      <c r="A40" s="68" t="str">
        <f>'Carnet 3a.Fase'!C18</f>
        <v>LEANDRINHO</v>
      </c>
      <c r="B40" s="69"/>
      <c r="C40" s="70" t="s">
        <v>193</v>
      </c>
      <c r="D40" s="69"/>
      <c r="E40" s="68" t="str">
        <f>'Carnet 3a.Fase'!F18</f>
        <v>ALESSANDRO</v>
      </c>
      <c r="G40" s="68" t="str">
        <f>'Carnet 3a.Fase'!C19</f>
        <v>JOSÉ</v>
      </c>
      <c r="H40" s="69"/>
      <c r="I40" s="70" t="s">
        <v>193</v>
      </c>
      <c r="J40" s="69"/>
      <c r="K40" s="68" t="str">
        <f>'Carnet 3a.Fase'!F19</f>
        <v>VINÍCIUS</v>
      </c>
    </row>
    <row r="41" spans="1:11" ht="15" customHeight="1">
      <c r="A41" s="81"/>
      <c r="B41" s="82"/>
      <c r="D41" s="81"/>
      <c r="E41" s="82"/>
      <c r="G41" s="81"/>
      <c r="H41" s="82"/>
      <c r="I41" s="64"/>
      <c r="J41" s="81"/>
      <c r="K41" s="82"/>
    </row>
    <row r="42" spans="1:11" ht="15" customHeight="1">
      <c r="A42" s="83"/>
      <c r="B42" s="84"/>
      <c r="D42" s="83"/>
      <c r="E42" s="84"/>
      <c r="G42" s="83"/>
      <c r="H42" s="84"/>
      <c r="I42" s="64"/>
      <c r="J42" s="83"/>
      <c r="K42" s="84"/>
    </row>
    <row r="43" spans="1:11" ht="15" customHeight="1" thickBot="1">
      <c r="A43" s="85"/>
      <c r="B43" s="86"/>
      <c r="D43" s="85"/>
      <c r="E43" s="86"/>
      <c r="G43" s="85"/>
      <c r="H43" s="86"/>
      <c r="I43" s="64"/>
      <c r="J43" s="85"/>
      <c r="K43" s="86"/>
    </row>
    <row r="45" ht="15" customHeight="1" thickBot="1"/>
    <row r="46" spans="1:11" ht="15" customHeight="1" thickBot="1">
      <c r="A46" s="65" t="s">
        <v>220</v>
      </c>
      <c r="B46" s="78" t="s">
        <v>191</v>
      </c>
      <c r="C46" s="79"/>
      <c r="D46" s="80"/>
      <c r="E46" s="66" t="str">
        <f>'Carnet 3a.Fase'!G20</f>
        <v>LEÃO</v>
      </c>
      <c r="F46" s="67"/>
      <c r="G46" s="65" t="s">
        <v>221</v>
      </c>
      <c r="H46" s="78" t="s">
        <v>191</v>
      </c>
      <c r="I46" s="79"/>
      <c r="J46" s="80"/>
      <c r="K46" s="66" t="str">
        <f>'Carnet 3a.Fase'!G21</f>
        <v>DUDA</v>
      </c>
    </row>
    <row r="47" spans="1:11" ht="15" customHeight="1" thickBot="1">
      <c r="A47" s="68" t="str">
        <f>'Carnet 3a.Fase'!C20</f>
        <v>NILMAR</v>
      </c>
      <c r="B47" s="69"/>
      <c r="C47" s="70" t="s">
        <v>193</v>
      </c>
      <c r="D47" s="69"/>
      <c r="E47" s="68" t="str">
        <f>'Carnet 3a.Fase'!F20</f>
        <v>ALEX</v>
      </c>
      <c r="G47" s="68" t="str">
        <f>'Carnet 3a.Fase'!C21</f>
        <v>JONI</v>
      </c>
      <c r="H47" s="69"/>
      <c r="I47" s="70" t="s">
        <v>193</v>
      </c>
      <c r="J47" s="69"/>
      <c r="K47" s="68" t="str">
        <f>'Carnet 3a.Fase'!F21</f>
        <v>EMERSON</v>
      </c>
    </row>
    <row r="48" spans="1:11" ht="15" customHeight="1">
      <c r="A48" s="81"/>
      <c r="B48" s="82"/>
      <c r="D48" s="81"/>
      <c r="E48" s="82"/>
      <c r="G48" s="81"/>
      <c r="H48" s="82"/>
      <c r="I48" s="64"/>
      <c r="J48" s="81"/>
      <c r="K48" s="82"/>
    </row>
    <row r="49" spans="1:11" ht="15" customHeight="1">
      <c r="A49" s="83"/>
      <c r="B49" s="84"/>
      <c r="D49" s="83"/>
      <c r="E49" s="84"/>
      <c r="G49" s="83"/>
      <c r="H49" s="84"/>
      <c r="I49" s="64"/>
      <c r="J49" s="83"/>
      <c r="K49" s="84"/>
    </row>
    <row r="50" spans="1:11" ht="15" customHeight="1" thickBot="1">
      <c r="A50" s="85"/>
      <c r="B50" s="86"/>
      <c r="D50" s="85"/>
      <c r="E50" s="86"/>
      <c r="G50" s="85"/>
      <c r="H50" s="86"/>
      <c r="I50" s="64"/>
      <c r="J50" s="85"/>
      <c r="K50" s="86"/>
    </row>
    <row r="52" ht="15" customHeight="1" thickBot="1"/>
    <row r="53" spans="1:11" ht="15" customHeight="1" thickBot="1">
      <c r="A53" s="65" t="s">
        <v>214</v>
      </c>
      <c r="B53" s="78" t="s">
        <v>191</v>
      </c>
      <c r="C53" s="79"/>
      <c r="D53" s="80"/>
      <c r="E53" s="66" t="str">
        <f>'Carnet 3a.Fase'!G22</f>
        <v>ALDIR</v>
      </c>
      <c r="F53" s="67"/>
      <c r="G53" s="65" t="s">
        <v>199</v>
      </c>
      <c r="H53" s="78" t="s">
        <v>191</v>
      </c>
      <c r="I53" s="79"/>
      <c r="J53" s="80"/>
      <c r="K53" s="66" t="str">
        <f>'Carnet 3a.Fase'!G23</f>
        <v>VINHAS</v>
      </c>
    </row>
    <row r="54" spans="1:11" ht="15" customHeight="1" thickBot="1">
      <c r="A54" s="68" t="str">
        <f>'Carnet 3a.Fase'!C22</f>
        <v>PAIM</v>
      </c>
      <c r="B54" s="69"/>
      <c r="C54" s="70" t="s">
        <v>193</v>
      </c>
      <c r="D54" s="69"/>
      <c r="E54" s="68" t="str">
        <f>'Carnet 3a.Fase'!F22</f>
        <v>ZILBER</v>
      </c>
      <c r="G54" s="68" t="str">
        <f>'Carnet 3a.Fase'!C23</f>
        <v>JOÃO GARIMA</v>
      </c>
      <c r="H54" s="69"/>
      <c r="I54" s="70" t="s">
        <v>193</v>
      </c>
      <c r="J54" s="69"/>
      <c r="K54" s="68" t="str">
        <f>'Carnet 3a.Fase'!F23</f>
        <v>ELISANDRO</v>
      </c>
    </row>
    <row r="55" spans="1:11" ht="15" customHeight="1">
      <c r="A55" s="81"/>
      <c r="B55" s="82"/>
      <c r="D55" s="81"/>
      <c r="E55" s="82"/>
      <c r="G55" s="81"/>
      <c r="H55" s="82"/>
      <c r="I55" s="64"/>
      <c r="J55" s="81"/>
      <c r="K55" s="82"/>
    </row>
    <row r="56" spans="1:11" ht="15" customHeight="1">
      <c r="A56" s="83"/>
      <c r="B56" s="84"/>
      <c r="D56" s="83"/>
      <c r="E56" s="84"/>
      <c r="G56" s="83"/>
      <c r="H56" s="84"/>
      <c r="I56" s="64"/>
      <c r="J56" s="83"/>
      <c r="K56" s="84"/>
    </row>
    <row r="57" spans="1:11" ht="15" customHeight="1" thickBot="1">
      <c r="A57" s="85"/>
      <c r="B57" s="86"/>
      <c r="D57" s="85"/>
      <c r="E57" s="86"/>
      <c r="G57" s="85"/>
      <c r="H57" s="86"/>
      <c r="I57" s="64"/>
      <c r="J57" s="85"/>
      <c r="K57" s="86"/>
    </row>
    <row r="61" ht="15" customHeight="1" thickBot="1"/>
    <row r="62" spans="1:11" ht="15" customHeight="1" thickBot="1">
      <c r="A62" s="65" t="s">
        <v>218</v>
      </c>
      <c r="B62" s="78" t="s">
        <v>191</v>
      </c>
      <c r="C62" s="79"/>
      <c r="D62" s="80"/>
      <c r="E62" s="66" t="str">
        <f>'Carnet 3a.Fase'!G25</f>
        <v>SINVAL</v>
      </c>
      <c r="F62" s="67"/>
      <c r="G62" s="65" t="s">
        <v>209</v>
      </c>
      <c r="H62" s="78" t="s">
        <v>191</v>
      </c>
      <c r="I62" s="79"/>
      <c r="J62" s="80"/>
      <c r="K62" s="66" t="str">
        <f>'Carnet 3a.Fase'!G26</f>
        <v>PUFAL</v>
      </c>
    </row>
    <row r="63" spans="1:11" ht="15" customHeight="1" thickBot="1">
      <c r="A63" s="68" t="str">
        <f>'Carnet 3a.Fase'!C25</f>
        <v>SILVIO</v>
      </c>
      <c r="B63" s="69"/>
      <c r="C63" s="70" t="s">
        <v>193</v>
      </c>
      <c r="D63" s="69"/>
      <c r="E63" s="68" t="str">
        <f>'Carnet 3a.Fase'!F25</f>
        <v>ROBSON</v>
      </c>
      <c r="G63" s="68" t="str">
        <f>'Carnet 3a.Fase'!C26</f>
        <v>BRANDÃO</v>
      </c>
      <c r="H63" s="69"/>
      <c r="I63" s="70" t="s">
        <v>193</v>
      </c>
      <c r="J63" s="69"/>
      <c r="K63" s="68" t="str">
        <f>'Carnet 3a.Fase'!F26</f>
        <v>FELIPE</v>
      </c>
    </row>
    <row r="64" spans="1:11" ht="15" customHeight="1">
      <c r="A64" s="81"/>
      <c r="B64" s="82"/>
      <c r="D64" s="81"/>
      <c r="E64" s="82"/>
      <c r="G64" s="81"/>
      <c r="H64" s="82"/>
      <c r="I64" s="64"/>
      <c r="J64" s="81"/>
      <c r="K64" s="82"/>
    </row>
    <row r="65" spans="1:11" ht="15" customHeight="1">
      <c r="A65" s="83"/>
      <c r="B65" s="84"/>
      <c r="D65" s="83"/>
      <c r="E65" s="84"/>
      <c r="G65" s="83"/>
      <c r="H65" s="84"/>
      <c r="I65" s="64"/>
      <c r="J65" s="83"/>
      <c r="K65" s="84"/>
    </row>
    <row r="66" spans="1:11" ht="15" customHeight="1" thickBot="1">
      <c r="A66" s="85"/>
      <c r="B66" s="86"/>
      <c r="D66" s="85"/>
      <c r="E66" s="86"/>
      <c r="G66" s="85"/>
      <c r="H66" s="86"/>
      <c r="I66" s="64"/>
      <c r="J66" s="85"/>
      <c r="K66" s="86"/>
    </row>
    <row r="68" ht="15" customHeight="1" thickBot="1"/>
    <row r="69" spans="1:11" ht="15" customHeight="1" thickBot="1">
      <c r="A69" s="65" t="s">
        <v>210</v>
      </c>
      <c r="B69" s="78" t="s">
        <v>191</v>
      </c>
      <c r="C69" s="79"/>
      <c r="D69" s="80"/>
      <c r="E69" s="66" t="str">
        <f>'Carnet 3a.Fase'!G27</f>
        <v>MALLET</v>
      </c>
      <c r="F69" s="67"/>
      <c r="G69" s="65" t="s">
        <v>211</v>
      </c>
      <c r="H69" s="78" t="s">
        <v>191</v>
      </c>
      <c r="I69" s="79"/>
      <c r="J69" s="80"/>
      <c r="K69" s="66" t="str">
        <f>'Carnet 3a.Fase'!G28</f>
        <v>BRENO</v>
      </c>
    </row>
    <row r="70" spans="1:11" ht="15" customHeight="1" thickBot="1">
      <c r="A70" s="68" t="str">
        <f>'Carnet 3a.Fase'!C27</f>
        <v>ALESSANDRO</v>
      </c>
      <c r="B70" s="69"/>
      <c r="C70" s="70" t="s">
        <v>193</v>
      </c>
      <c r="D70" s="69"/>
      <c r="E70" s="68" t="str">
        <f>'Carnet 3a.Fase'!F27</f>
        <v>VINÍCIUS</v>
      </c>
      <c r="G70" s="68" t="str">
        <f>'Carnet 3a.Fase'!C28</f>
        <v>LEANDRINHO</v>
      </c>
      <c r="H70" s="69"/>
      <c r="I70" s="70" t="s">
        <v>193</v>
      </c>
      <c r="J70" s="69"/>
      <c r="K70" s="68" t="str">
        <f>'Carnet 3a.Fase'!F28</f>
        <v>JOSÉ</v>
      </c>
    </row>
    <row r="71" spans="1:11" ht="15" customHeight="1">
      <c r="A71" s="81"/>
      <c r="B71" s="82"/>
      <c r="D71" s="81"/>
      <c r="E71" s="82"/>
      <c r="G71" s="81"/>
      <c r="H71" s="82"/>
      <c r="I71" s="64"/>
      <c r="J71" s="81"/>
      <c r="K71" s="82"/>
    </row>
    <row r="72" spans="1:11" ht="15" customHeight="1">
      <c r="A72" s="83"/>
      <c r="B72" s="84"/>
      <c r="D72" s="83"/>
      <c r="E72" s="84"/>
      <c r="G72" s="83"/>
      <c r="H72" s="84"/>
      <c r="I72" s="64"/>
      <c r="J72" s="83"/>
      <c r="K72" s="84"/>
    </row>
    <row r="73" spans="1:11" ht="15" customHeight="1" thickBot="1">
      <c r="A73" s="85"/>
      <c r="B73" s="86"/>
      <c r="D73" s="85"/>
      <c r="E73" s="86"/>
      <c r="G73" s="85"/>
      <c r="H73" s="86"/>
      <c r="I73" s="64"/>
      <c r="J73" s="85"/>
      <c r="K73" s="86"/>
    </row>
    <row r="75" ht="15" customHeight="1" thickBot="1"/>
    <row r="76" spans="1:11" ht="15" customHeight="1" thickBot="1">
      <c r="A76" s="65" t="s">
        <v>212</v>
      </c>
      <c r="B76" s="78" t="s">
        <v>191</v>
      </c>
      <c r="C76" s="79"/>
      <c r="D76" s="80"/>
      <c r="E76" s="66" t="str">
        <f>'Carnet 3a.Fase'!G29</f>
        <v>MICHEL</v>
      </c>
      <c r="F76" s="67"/>
      <c r="G76" s="65" t="s">
        <v>221</v>
      </c>
      <c r="H76" s="78" t="s">
        <v>191</v>
      </c>
      <c r="I76" s="79"/>
      <c r="J76" s="80"/>
      <c r="K76" s="66" t="str">
        <f>'Carnet 3a.Fase'!G30</f>
        <v>MARQUINHO</v>
      </c>
    </row>
    <row r="77" spans="1:11" ht="15" customHeight="1" thickBot="1">
      <c r="A77" s="68" t="str">
        <f>'Carnet 3a.Fase'!C29</f>
        <v>ALEX</v>
      </c>
      <c r="B77" s="69"/>
      <c r="C77" s="70" t="s">
        <v>193</v>
      </c>
      <c r="D77" s="69"/>
      <c r="E77" s="68" t="str">
        <f>'Carnet 3a.Fase'!F29</f>
        <v>EMERSON</v>
      </c>
      <c r="G77" s="68" t="str">
        <f>'Carnet 3a.Fase'!C30</f>
        <v>NILMAR</v>
      </c>
      <c r="H77" s="69"/>
      <c r="I77" s="70" t="s">
        <v>193</v>
      </c>
      <c r="J77" s="69"/>
      <c r="K77" s="68" t="str">
        <f>'Carnet 3a.Fase'!F30</f>
        <v>JONI</v>
      </c>
    </row>
    <row r="78" spans="1:11" ht="15" customHeight="1">
      <c r="A78" s="81"/>
      <c r="B78" s="82"/>
      <c r="D78" s="81"/>
      <c r="E78" s="82"/>
      <c r="G78" s="81"/>
      <c r="H78" s="82"/>
      <c r="I78" s="64"/>
      <c r="J78" s="81"/>
      <c r="K78" s="82"/>
    </row>
    <row r="79" spans="1:11" ht="15" customHeight="1">
      <c r="A79" s="83"/>
      <c r="B79" s="84"/>
      <c r="D79" s="83"/>
      <c r="E79" s="84"/>
      <c r="G79" s="83"/>
      <c r="H79" s="84"/>
      <c r="I79" s="64"/>
      <c r="J79" s="83"/>
      <c r="K79" s="84"/>
    </row>
    <row r="80" spans="1:11" ht="15" customHeight="1" thickBot="1">
      <c r="A80" s="85"/>
      <c r="B80" s="86"/>
      <c r="D80" s="85"/>
      <c r="E80" s="86"/>
      <c r="G80" s="85"/>
      <c r="H80" s="86"/>
      <c r="I80" s="64"/>
      <c r="J80" s="85"/>
      <c r="K80" s="86"/>
    </row>
    <row r="82" ht="15" customHeight="1" thickBot="1"/>
    <row r="83" spans="1:11" ht="15" customHeight="1" thickBot="1">
      <c r="A83" s="65" t="s">
        <v>228</v>
      </c>
      <c r="B83" s="78" t="s">
        <v>191</v>
      </c>
      <c r="C83" s="79"/>
      <c r="D83" s="80"/>
      <c r="E83" s="66" t="str">
        <f>'Carnet 3a.Fase'!G31</f>
        <v>OSMAR</v>
      </c>
      <c r="F83" s="67"/>
      <c r="G83" s="65" t="s">
        <v>199</v>
      </c>
      <c r="H83" s="78" t="s">
        <v>191</v>
      </c>
      <c r="I83" s="79"/>
      <c r="J83" s="80"/>
      <c r="K83" s="66" t="str">
        <f>'Carnet 3a.Fase'!G32</f>
        <v>DIOGO MALLET</v>
      </c>
    </row>
    <row r="84" spans="1:11" ht="15" customHeight="1" thickBot="1">
      <c r="A84" s="68" t="str">
        <f>'Carnet 3a.Fase'!C31</f>
        <v>ZILBER</v>
      </c>
      <c r="B84" s="69"/>
      <c r="C84" s="70" t="s">
        <v>193</v>
      </c>
      <c r="D84" s="69"/>
      <c r="E84" s="68" t="str">
        <f>'Carnet 3a.Fase'!F31</f>
        <v>ELISANDRO</v>
      </c>
      <c r="G84" s="68" t="str">
        <f>'Carnet 3a.Fase'!C32</f>
        <v>PAIM</v>
      </c>
      <c r="H84" s="69"/>
      <c r="I84" s="70" t="s">
        <v>193</v>
      </c>
      <c r="J84" s="69"/>
      <c r="K84" s="68" t="str">
        <f>'Carnet 3a.Fase'!F32</f>
        <v>JOÃO GARIMA</v>
      </c>
    </row>
    <row r="85" spans="1:11" ht="15" customHeight="1">
      <c r="A85" s="81"/>
      <c r="B85" s="82"/>
      <c r="D85" s="81"/>
      <c r="E85" s="82"/>
      <c r="G85" s="81"/>
      <c r="H85" s="82"/>
      <c r="I85" s="64"/>
      <c r="J85" s="81"/>
      <c r="K85" s="82"/>
    </row>
    <row r="86" spans="1:11" ht="15" customHeight="1">
      <c r="A86" s="83"/>
      <c r="B86" s="84"/>
      <c r="D86" s="83"/>
      <c r="E86" s="84"/>
      <c r="G86" s="83"/>
      <c r="H86" s="84"/>
      <c r="I86" s="64"/>
      <c r="J86" s="83"/>
      <c r="K86" s="84"/>
    </row>
    <row r="87" spans="1:11" ht="15" customHeight="1" thickBot="1">
      <c r="A87" s="85"/>
      <c r="B87" s="86"/>
      <c r="D87" s="85"/>
      <c r="E87" s="86"/>
      <c r="G87" s="85"/>
      <c r="H87" s="86"/>
      <c r="I87" s="64"/>
      <c r="J87" s="85"/>
      <c r="K87" s="86"/>
    </row>
    <row r="91" ht="15" customHeight="1" thickBot="1"/>
    <row r="92" spans="1:11" ht="15" customHeight="1" thickBot="1">
      <c r="A92" s="65" t="s">
        <v>232</v>
      </c>
      <c r="B92" s="78" t="s">
        <v>191</v>
      </c>
      <c r="C92" s="79"/>
      <c r="D92" s="80"/>
      <c r="E92" s="66"/>
      <c r="F92" s="67"/>
      <c r="G92" s="65" t="s">
        <v>233</v>
      </c>
      <c r="H92" s="78" t="s">
        <v>191</v>
      </c>
      <c r="I92" s="79"/>
      <c r="J92" s="80"/>
      <c r="K92" s="66"/>
    </row>
    <row r="93" spans="1:11" ht="15" customHeight="1" thickBot="1">
      <c r="A93" s="68"/>
      <c r="B93" s="69"/>
      <c r="C93" s="70" t="s">
        <v>193</v>
      </c>
      <c r="D93" s="69"/>
      <c r="E93" s="68"/>
      <c r="G93" s="68"/>
      <c r="H93" s="69"/>
      <c r="I93" s="70" t="s">
        <v>193</v>
      </c>
      <c r="J93" s="69"/>
      <c r="K93" s="68"/>
    </row>
    <row r="94" spans="1:11" ht="15" customHeight="1">
      <c r="A94" s="81"/>
      <c r="B94" s="82"/>
      <c r="D94" s="81"/>
      <c r="E94" s="82"/>
      <c r="G94" s="81"/>
      <c r="H94" s="82"/>
      <c r="I94" s="64"/>
      <c r="J94" s="81"/>
      <c r="K94" s="82"/>
    </row>
    <row r="95" spans="1:11" ht="15" customHeight="1">
      <c r="A95" s="83"/>
      <c r="B95" s="84"/>
      <c r="D95" s="83"/>
      <c r="E95" s="84"/>
      <c r="G95" s="83"/>
      <c r="H95" s="84"/>
      <c r="I95" s="64"/>
      <c r="J95" s="83"/>
      <c r="K95" s="84"/>
    </row>
    <row r="96" spans="1:11" ht="15" customHeight="1" thickBot="1">
      <c r="A96" s="85"/>
      <c r="B96" s="86"/>
      <c r="D96" s="85"/>
      <c r="E96" s="86"/>
      <c r="G96" s="85"/>
      <c r="H96" s="86"/>
      <c r="I96" s="64"/>
      <c r="J96" s="85"/>
      <c r="K96" s="86"/>
    </row>
    <row r="98" ht="15" customHeight="1" thickBot="1"/>
    <row r="99" spans="1:11" ht="15" customHeight="1" thickBot="1">
      <c r="A99" s="65" t="s">
        <v>233</v>
      </c>
      <c r="B99" s="78" t="s">
        <v>191</v>
      </c>
      <c r="C99" s="79"/>
      <c r="D99" s="80"/>
      <c r="E99" s="66"/>
      <c r="F99" s="67"/>
      <c r="G99" s="65" t="s">
        <v>233</v>
      </c>
      <c r="H99" s="78" t="s">
        <v>191</v>
      </c>
      <c r="I99" s="79"/>
      <c r="J99" s="80"/>
      <c r="K99" s="66"/>
    </row>
    <row r="100" spans="1:11" ht="15" customHeight="1" thickBot="1">
      <c r="A100" s="68"/>
      <c r="B100" s="69"/>
      <c r="C100" s="70" t="s">
        <v>193</v>
      </c>
      <c r="D100" s="69"/>
      <c r="E100" s="68"/>
      <c r="G100" s="68"/>
      <c r="H100" s="69"/>
      <c r="I100" s="70" t="s">
        <v>193</v>
      </c>
      <c r="J100" s="69"/>
      <c r="K100" s="68"/>
    </row>
    <row r="101" spans="1:11" ht="15" customHeight="1">
      <c r="A101" s="81"/>
      <c r="B101" s="82"/>
      <c r="D101" s="81"/>
      <c r="E101" s="82"/>
      <c r="G101" s="81"/>
      <c r="H101" s="82"/>
      <c r="I101" s="64"/>
      <c r="J101" s="81"/>
      <c r="K101" s="82"/>
    </row>
    <row r="102" spans="1:11" ht="15" customHeight="1">
      <c r="A102" s="83"/>
      <c r="B102" s="84"/>
      <c r="D102" s="83"/>
      <c r="E102" s="84"/>
      <c r="G102" s="83"/>
      <c r="H102" s="84"/>
      <c r="I102" s="64"/>
      <c r="J102" s="83"/>
      <c r="K102" s="84"/>
    </row>
    <row r="103" spans="1:11" ht="15" customHeight="1" thickBot="1">
      <c r="A103" s="85"/>
      <c r="B103" s="86"/>
      <c r="D103" s="85"/>
      <c r="E103" s="86"/>
      <c r="G103" s="85"/>
      <c r="H103" s="86"/>
      <c r="I103" s="64"/>
      <c r="J103" s="85"/>
      <c r="K103" s="86"/>
    </row>
    <row r="105" ht="15" customHeight="1" thickBot="1"/>
    <row r="106" spans="1:11" ht="15" customHeight="1" thickBot="1">
      <c r="A106" s="65" t="s">
        <v>233</v>
      </c>
      <c r="B106" s="78" t="s">
        <v>191</v>
      </c>
      <c r="C106" s="79"/>
      <c r="D106" s="80"/>
      <c r="E106" s="66"/>
      <c r="F106" s="67"/>
      <c r="G106" s="65" t="s">
        <v>233</v>
      </c>
      <c r="H106" s="78" t="s">
        <v>191</v>
      </c>
      <c r="I106" s="79"/>
      <c r="J106" s="80"/>
      <c r="K106" s="66"/>
    </row>
    <row r="107" spans="1:11" ht="15" customHeight="1" thickBot="1">
      <c r="A107" s="65"/>
      <c r="B107" s="69"/>
      <c r="C107" s="70" t="s">
        <v>193</v>
      </c>
      <c r="D107" s="69"/>
      <c r="E107" s="68"/>
      <c r="G107" s="68"/>
      <c r="H107" s="69"/>
      <c r="I107" s="70" t="s">
        <v>193</v>
      </c>
      <c r="J107" s="69"/>
      <c r="K107" s="68"/>
    </row>
    <row r="108" spans="1:11" ht="15" customHeight="1">
      <c r="A108" s="81"/>
      <c r="B108" s="82"/>
      <c r="D108" s="81"/>
      <c r="E108" s="82"/>
      <c r="G108" s="81"/>
      <c r="H108" s="82"/>
      <c r="I108" s="64"/>
      <c r="J108" s="81"/>
      <c r="K108" s="82"/>
    </row>
    <row r="109" spans="1:11" ht="15" customHeight="1">
      <c r="A109" s="83"/>
      <c r="B109" s="84"/>
      <c r="D109" s="83"/>
      <c r="E109" s="84"/>
      <c r="G109" s="83"/>
      <c r="H109" s="84"/>
      <c r="I109" s="64"/>
      <c r="J109" s="83"/>
      <c r="K109" s="84"/>
    </row>
    <row r="110" spans="1:11" ht="15" customHeight="1" thickBot="1">
      <c r="A110" s="85"/>
      <c r="B110" s="86"/>
      <c r="D110" s="85"/>
      <c r="E110" s="86"/>
      <c r="G110" s="85"/>
      <c r="H110" s="86"/>
      <c r="I110" s="64"/>
      <c r="J110" s="85"/>
      <c r="K110" s="86"/>
    </row>
    <row r="112" ht="15" customHeight="1" thickBot="1"/>
    <row r="113" spans="1:11" ht="15" customHeight="1" thickBot="1">
      <c r="A113" s="65" t="s">
        <v>233</v>
      </c>
      <c r="B113" s="78" t="s">
        <v>191</v>
      </c>
      <c r="C113" s="79"/>
      <c r="D113" s="80"/>
      <c r="E113" s="66"/>
      <c r="F113" s="67"/>
      <c r="G113" s="65" t="s">
        <v>233</v>
      </c>
      <c r="H113" s="78" t="s">
        <v>191</v>
      </c>
      <c r="I113" s="79"/>
      <c r="J113" s="80"/>
      <c r="K113" s="66"/>
    </row>
    <row r="114" spans="1:11" ht="15" customHeight="1" thickBot="1">
      <c r="A114" s="68"/>
      <c r="B114" s="69"/>
      <c r="C114" s="70" t="s">
        <v>193</v>
      </c>
      <c r="D114" s="69"/>
      <c r="E114" s="68"/>
      <c r="G114" s="68"/>
      <c r="H114" s="69"/>
      <c r="I114" s="70" t="s">
        <v>193</v>
      </c>
      <c r="J114" s="69"/>
      <c r="K114" s="68"/>
    </row>
    <row r="115" spans="1:11" ht="15" customHeight="1">
      <c r="A115" s="81"/>
      <c r="B115" s="82"/>
      <c r="D115" s="81"/>
      <c r="E115" s="82"/>
      <c r="G115" s="81"/>
      <c r="H115" s="82"/>
      <c r="I115" s="64"/>
      <c r="J115" s="81"/>
      <c r="K115" s="82"/>
    </row>
    <row r="116" spans="1:11" ht="15" customHeight="1">
      <c r="A116" s="83"/>
      <c r="B116" s="84"/>
      <c r="D116" s="83"/>
      <c r="E116" s="84"/>
      <c r="G116" s="83"/>
      <c r="H116" s="84"/>
      <c r="I116" s="64"/>
      <c r="J116" s="83"/>
      <c r="K116" s="84"/>
    </row>
    <row r="117" spans="1:11" ht="15" customHeight="1" thickBot="1">
      <c r="A117" s="85"/>
      <c r="B117" s="86"/>
      <c r="D117" s="85"/>
      <c r="E117" s="86"/>
      <c r="G117" s="85"/>
      <c r="H117" s="86"/>
      <c r="I117" s="64"/>
      <c r="J117" s="85"/>
      <c r="K117" s="86"/>
    </row>
    <row r="119" ht="15" customHeight="1">
      <c r="A119" s="67" t="s">
        <v>234</v>
      </c>
    </row>
  </sheetData>
  <sheetProtection/>
  <printOptions/>
  <pageMargins left="0.7" right="0.56" top="0.984251969" bottom="0.984251969" header="0.492125985" footer="0.492125985"/>
  <pageSetup horizontalDpi="300" verticalDpi="300" orientation="landscape" paperSize="9" r:id="rId1"/>
  <headerFooter alignWithMargins="0">
    <oddHeader>&amp;L&amp;"Arial,Negrito"&amp;12ESTADUAL ESPECIAL/&amp;C&amp;"Arial,Negrito"&amp;12 3 ª FASE&amp;R&amp;"Arial,Negrito"&amp;12____ª RODADA</oddHeader>
  </headerFooter>
  <rowBreaks count="2" manualBreakCount="2">
    <brk id="60" max="65535" man="1"/>
    <brk id="9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CAMPEONATOS ESTADUAIS ESPECIAIS(64 participantes)</dc:title>
  <dc:subject/>
  <dc:creator>Sérgio</dc:creator>
  <cp:keywords/>
  <dc:description>Preenchendo os nomes dos participantes nas  chaves, o carnet fica pronto automaticamente. Incluindo-se os resultados de cada rodada a tabela de pontos automaticamente atualiza-se em seus diversos campos, dispondo os técnicos em ordem  de classificação. 
fgfm@terra.com.br</dc:description>
  <cp:lastModifiedBy>Instalador</cp:lastModifiedBy>
  <cp:lastPrinted>2010-08-22T12:46:02Z</cp:lastPrinted>
  <dcterms:created xsi:type="dcterms:W3CDTF">2000-05-07T15:11:05Z</dcterms:created>
  <dcterms:modified xsi:type="dcterms:W3CDTF">2010-08-25T11:42:59Z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408944141</vt:i4>
  </property>
  <property fmtid="{D5CDD505-2E9C-101B-9397-08002B2CF9AE}" pid="3" name="_EmailSubject">
    <vt:lpwstr>Carnê</vt:lpwstr>
  </property>
  <property fmtid="{D5CDD505-2E9C-101B-9397-08002B2CF9AE}" pid="4" name="_AuthorEmail">
    <vt:lpwstr>faleconosco@fgfm.com.br</vt:lpwstr>
  </property>
  <property fmtid="{D5CDD505-2E9C-101B-9397-08002B2CF9AE}" pid="5" name="_AuthorEmailDisplayName">
    <vt:lpwstr>FGFM - Fale Conosco</vt:lpwstr>
  </property>
  <property fmtid="{D5CDD505-2E9C-101B-9397-08002B2CF9AE}" pid="6" name="_ReviewingToolsShownOnce">
    <vt:lpwstr/>
  </property>
</Properties>
</file>